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f422.sharepoint.com/sites/Projektid/Shared Documents/2026/EO_2026_1221_Lõuna remix ja Waide ristmik/6. Projektidokumentatsioon/6. Kallinemine/Esitamiseks/"/>
    </mc:Choice>
  </mc:AlternateContent>
  <xr:revisionPtr revIDLastSave="1491" documentId="8_{2EE86B08-3D5C-45D4-BA5A-772C1885E68E}" xr6:coauthVersionLast="47" xr6:coauthVersionMax="47" xr10:uidLastSave="{92FD2184-D4DE-43DD-9D6C-EA6CCCF153D3}"/>
  <bookViews>
    <workbookView xWindow="-110" yWindow="-110" windowWidth="25820" windowHeight="13900" activeTab="3" xr2:uid="{CA6D44EE-07EA-4A0A-8916-AD86AEA8633E}"/>
  </bookViews>
  <sheets>
    <sheet name="Kallinemise koondtabel" sheetId="2" r:id="rId1"/>
    <sheet name="Remix" sheetId="1" r:id="rId2"/>
    <sheet name="Peenramaterjali vedu" sheetId="3" r:id="rId3"/>
    <sheet name="Asfalteerimine" sheetId="4" r:id="rId4"/>
    <sheet name="Freesimine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4" l="1"/>
  <c r="D60" i="4"/>
  <c r="D61" i="4"/>
  <c r="D62" i="4"/>
  <c r="D58" i="4"/>
  <c r="E53" i="5"/>
  <c r="K53" i="5"/>
  <c r="J53" i="5"/>
  <c r="C51" i="5"/>
  <c r="D51" i="5"/>
  <c r="B54" i="5"/>
  <c r="B52" i="5"/>
  <c r="E22" i="5" l="1"/>
  <c r="B22" i="2" s="1"/>
  <c r="D96" i="5"/>
  <c r="D94" i="5"/>
  <c r="D89" i="5"/>
  <c r="C91" i="5"/>
  <c r="C90" i="5"/>
  <c r="C89" i="5"/>
  <c r="E14" i="5"/>
  <c r="D117" i="4"/>
  <c r="D115" i="4"/>
  <c r="B13" i="2"/>
  <c r="G23" i="3"/>
  <c r="D120" i="1"/>
  <c r="D84" i="1"/>
  <c r="D103" i="1" l="1"/>
  <c r="F10" i="1"/>
  <c r="H21" i="5"/>
  <c r="B41" i="1"/>
  <c r="B52" i="4" l="1"/>
  <c r="B32" i="4"/>
  <c r="B22" i="4"/>
  <c r="H51" i="4"/>
  <c r="J51" i="4" s="1"/>
  <c r="B51" i="4"/>
  <c r="H31" i="4"/>
  <c r="B31" i="4"/>
  <c r="H21" i="4"/>
  <c r="B21" i="4"/>
  <c r="B20" i="4" s="1"/>
  <c r="B23" i="4" s="1"/>
  <c r="D95" i="5" l="1"/>
  <c r="D91" i="5"/>
  <c r="D90" i="5"/>
  <c r="D92" i="5"/>
  <c r="H85" i="5"/>
  <c r="J85" i="5" s="1"/>
  <c r="B85" i="5"/>
  <c r="C85" i="5" s="1"/>
  <c r="E85" i="5" s="1"/>
  <c r="B83" i="5"/>
  <c r="C83" i="5" s="1"/>
  <c r="E83" i="5" s="1"/>
  <c r="H77" i="5"/>
  <c r="J77" i="5" s="1"/>
  <c r="B77" i="5"/>
  <c r="C77" i="5" s="1"/>
  <c r="E77" i="5" s="1"/>
  <c r="B75" i="5"/>
  <c r="C75" i="5" s="1"/>
  <c r="E75" i="5" s="1"/>
  <c r="H69" i="5"/>
  <c r="J69" i="5" s="1"/>
  <c r="B69" i="5"/>
  <c r="B67" i="5"/>
  <c r="H61" i="5"/>
  <c r="J61" i="5" s="1"/>
  <c r="B61" i="5"/>
  <c r="C61" i="5" s="1"/>
  <c r="E61" i="5" s="1"/>
  <c r="B59" i="5"/>
  <c r="C59" i="5" s="1"/>
  <c r="E59" i="5" s="1"/>
  <c r="H53" i="5"/>
  <c r="B51" i="5"/>
  <c r="B53" i="5"/>
  <c r="H45" i="5"/>
  <c r="J45" i="5" s="1"/>
  <c r="B45" i="5"/>
  <c r="C45" i="5" s="1"/>
  <c r="E45" i="5" s="1"/>
  <c r="B43" i="5"/>
  <c r="C43" i="5" s="1"/>
  <c r="E43" i="5" s="1"/>
  <c r="H37" i="5"/>
  <c r="B37" i="5"/>
  <c r="C37" i="5" s="1"/>
  <c r="E37" i="5" s="1"/>
  <c r="B35" i="5"/>
  <c r="C35" i="5" s="1"/>
  <c r="E35" i="5" s="1"/>
  <c r="J37" i="5"/>
  <c r="H29" i="5"/>
  <c r="J29" i="5" s="1"/>
  <c r="B29" i="5"/>
  <c r="C29" i="5" s="1"/>
  <c r="E29" i="5" s="1"/>
  <c r="B27" i="5"/>
  <c r="C27" i="5" s="1"/>
  <c r="E27" i="5" s="1"/>
  <c r="J31" i="4"/>
  <c r="J21" i="4"/>
  <c r="J21" i="5"/>
  <c r="I18" i="1"/>
  <c r="K18" i="1" s="1"/>
  <c r="I65" i="1"/>
  <c r="K65" i="1" s="1"/>
  <c r="I41" i="1"/>
  <c r="K41" i="1" s="1"/>
  <c r="H101" i="4"/>
  <c r="J101" i="4" s="1"/>
  <c r="H91" i="4"/>
  <c r="J91" i="4" s="1"/>
  <c r="H81" i="4"/>
  <c r="J81" i="4" s="1"/>
  <c r="H71" i="4"/>
  <c r="J71" i="4" s="1"/>
  <c r="H61" i="4"/>
  <c r="J61" i="4" s="1"/>
  <c r="E14" i="4"/>
  <c r="H41" i="4"/>
  <c r="J41" i="4" s="1"/>
  <c r="B41" i="4"/>
  <c r="C41" i="4" s="1"/>
  <c r="E41" i="4" s="1"/>
  <c r="C31" i="4"/>
  <c r="E31" i="4" s="1"/>
  <c r="C21" i="4"/>
  <c r="E21" i="4" s="1"/>
  <c r="E7" i="3"/>
  <c r="E8" i="3"/>
  <c r="E9" i="3"/>
  <c r="E10" i="3"/>
  <c r="F11" i="3"/>
  <c r="F6" i="3"/>
  <c r="F29" i="3"/>
  <c r="E29" i="3" s="1"/>
  <c r="F30" i="3"/>
  <c r="E30" i="3" s="1"/>
  <c r="F27" i="3"/>
  <c r="E27" i="3" s="1"/>
  <c r="B28" i="3"/>
  <c r="D28" i="3" s="1"/>
  <c r="F28" i="3" s="1"/>
  <c r="E28" i="3" s="1"/>
  <c r="B21" i="5"/>
  <c r="B19" i="5"/>
  <c r="D118" i="4"/>
  <c r="C106" i="4"/>
  <c r="D106" i="4" s="1"/>
  <c r="C114" i="4"/>
  <c r="D114" i="4" s="1"/>
  <c r="C113" i="4"/>
  <c r="D113" i="4" s="1"/>
  <c r="C112" i="4"/>
  <c r="D112" i="4" s="1"/>
  <c r="C111" i="4"/>
  <c r="D111" i="4" s="1"/>
  <c r="C110" i="4"/>
  <c r="D110" i="4" s="1"/>
  <c r="C109" i="4"/>
  <c r="D109" i="4" s="1"/>
  <c r="C108" i="4"/>
  <c r="D108" i="4" s="1"/>
  <c r="C107" i="4"/>
  <c r="D107" i="4" s="1"/>
  <c r="B101" i="4"/>
  <c r="C101" i="4" s="1"/>
  <c r="E101" i="4" s="1"/>
  <c r="B100" i="4"/>
  <c r="C100" i="4" s="1"/>
  <c r="E100" i="4" s="1"/>
  <c r="B99" i="4"/>
  <c r="B98" i="4"/>
  <c r="C98" i="4" s="1"/>
  <c r="B90" i="4"/>
  <c r="B89" i="4"/>
  <c r="B91" i="4"/>
  <c r="B88" i="4"/>
  <c r="C88" i="4" s="1"/>
  <c r="B81" i="4"/>
  <c r="C81" i="4" s="1"/>
  <c r="E81" i="4" s="1"/>
  <c r="B80" i="4"/>
  <c r="C80" i="4" s="1"/>
  <c r="E80" i="4" s="1"/>
  <c r="B79" i="4"/>
  <c r="C79" i="4" s="1"/>
  <c r="E79" i="4" s="1"/>
  <c r="B78" i="4"/>
  <c r="C78" i="4" s="1"/>
  <c r="C69" i="4"/>
  <c r="E69" i="4" s="1"/>
  <c r="C70" i="4"/>
  <c r="E70" i="4" s="1"/>
  <c r="B71" i="4"/>
  <c r="B68" i="4"/>
  <c r="C60" i="4"/>
  <c r="E60" i="4" s="1"/>
  <c r="B61" i="4"/>
  <c r="C61" i="4" s="1"/>
  <c r="E61" i="4" s="1"/>
  <c r="B59" i="4"/>
  <c r="C59" i="4" s="1"/>
  <c r="E59" i="4" s="1"/>
  <c r="B58" i="4"/>
  <c r="C58" i="4" s="1"/>
  <c r="C51" i="4"/>
  <c r="E51" i="4" s="1"/>
  <c r="B49" i="4"/>
  <c r="C49" i="4" s="1"/>
  <c r="E49" i="4" s="1"/>
  <c r="B48" i="4"/>
  <c r="C40" i="4"/>
  <c r="E40" i="4" s="1"/>
  <c r="C39" i="4"/>
  <c r="E39" i="4" s="1"/>
  <c r="C38" i="4"/>
  <c r="E38" i="4" s="1"/>
  <c r="B29" i="4"/>
  <c r="B28" i="4"/>
  <c r="C19" i="4"/>
  <c r="C20" i="4"/>
  <c r="C18" i="4"/>
  <c r="B32" i="3"/>
  <c r="D32" i="3" s="1"/>
  <c r="F32" i="3" s="1"/>
  <c r="E32" i="3" s="1"/>
  <c r="B31" i="3"/>
  <c r="D31" i="3" s="1"/>
  <c r="F31" i="3" s="1"/>
  <c r="E31" i="3" s="1"/>
  <c r="B30" i="3"/>
  <c r="D30" i="3" s="1"/>
  <c r="B27" i="3"/>
  <c r="D27" i="3" s="1"/>
  <c r="B29" i="3"/>
  <c r="D29" i="3" s="1"/>
  <c r="B7" i="3"/>
  <c r="D7" i="3" s="1"/>
  <c r="F7" i="3" s="1"/>
  <c r="B6" i="3"/>
  <c r="D6" i="3" s="1"/>
  <c r="B11" i="3"/>
  <c r="D11" i="3" s="1"/>
  <c r="B9" i="3"/>
  <c r="D9" i="3" s="1"/>
  <c r="F9" i="3" s="1"/>
  <c r="B10" i="3"/>
  <c r="D10" i="3" s="1"/>
  <c r="F10" i="3" s="1"/>
  <c r="B8" i="3"/>
  <c r="D8" i="3" s="1"/>
  <c r="F8" i="3" s="1"/>
  <c r="B20" i="5" l="1"/>
  <c r="B22" i="5" s="1"/>
  <c r="C19" i="5"/>
  <c r="E19" i="5" s="1"/>
  <c r="D97" i="5"/>
  <c r="D98" i="5" s="1"/>
  <c r="E51" i="5"/>
  <c r="C53" i="5"/>
  <c r="B60" i="5"/>
  <c r="C67" i="5"/>
  <c r="E67" i="5" s="1"/>
  <c r="B84" i="5"/>
  <c r="B76" i="5"/>
  <c r="K61" i="5"/>
  <c r="C69" i="5"/>
  <c r="E69" i="5" s="1"/>
  <c r="K69" i="5" s="1"/>
  <c r="B68" i="5"/>
  <c r="B36" i="5"/>
  <c r="B44" i="5"/>
  <c r="K101" i="4"/>
  <c r="C22" i="4"/>
  <c r="C23" i="4" s="1"/>
  <c r="E18" i="4"/>
  <c r="B30" i="4"/>
  <c r="B33" i="4" s="1"/>
  <c r="K81" i="4"/>
  <c r="C48" i="4"/>
  <c r="E48" i="4" s="1"/>
  <c r="B50" i="4"/>
  <c r="C50" i="4" s="1"/>
  <c r="E50" i="4" s="1"/>
  <c r="K61" i="4"/>
  <c r="E6" i="3"/>
  <c r="E11" i="3"/>
  <c r="E20" i="4"/>
  <c r="K31" i="4"/>
  <c r="K21" i="4"/>
  <c r="K51" i="4"/>
  <c r="B86" i="5"/>
  <c r="K85" i="5"/>
  <c r="B78" i="5"/>
  <c r="D75" i="5" s="1"/>
  <c r="K77" i="5"/>
  <c r="K45" i="5"/>
  <c r="B28" i="5"/>
  <c r="K37" i="5"/>
  <c r="K29" i="5"/>
  <c r="B30" i="5"/>
  <c r="K41" i="4"/>
  <c r="C20" i="5"/>
  <c r="C82" i="4"/>
  <c r="B82" i="4" s="1"/>
  <c r="E20" i="5"/>
  <c r="C21" i="5"/>
  <c r="E21" i="5" s="1"/>
  <c r="K21" i="5" s="1"/>
  <c r="E88" i="4"/>
  <c r="C62" i="4"/>
  <c r="E58" i="4"/>
  <c r="C42" i="4"/>
  <c r="D119" i="4"/>
  <c r="D120" i="4" s="1"/>
  <c r="D121" i="4" s="1"/>
  <c r="E98" i="4"/>
  <c r="C89" i="4"/>
  <c r="E89" i="4" s="1"/>
  <c r="C68" i="4"/>
  <c r="C71" i="4"/>
  <c r="E71" i="4" s="1"/>
  <c r="K71" i="4" s="1"/>
  <c r="C90" i="4"/>
  <c r="E90" i="4" s="1"/>
  <c r="E78" i="4"/>
  <c r="C91" i="4"/>
  <c r="E91" i="4" s="1"/>
  <c r="K91" i="4" s="1"/>
  <c r="C99" i="4"/>
  <c r="E99" i="4" s="1"/>
  <c r="E19" i="4"/>
  <c r="C28" i="4"/>
  <c r="C29" i="4"/>
  <c r="E29" i="4" s="1"/>
  <c r="B33" i="3"/>
  <c r="B34" i="3" s="1"/>
  <c r="B12" i="3"/>
  <c r="E12" i="3" s="1"/>
  <c r="E82" i="4" l="1"/>
  <c r="C30" i="4"/>
  <c r="E30" i="4" s="1"/>
  <c r="B21" i="2"/>
  <c r="C68" i="5"/>
  <c r="E68" i="5" s="1"/>
  <c r="C84" i="5"/>
  <c r="E84" i="5" s="1"/>
  <c r="D84" i="5"/>
  <c r="C36" i="5"/>
  <c r="E36" i="5" s="1"/>
  <c r="D77" i="5"/>
  <c r="C60" i="5"/>
  <c r="E60" i="5" s="1"/>
  <c r="B62" i="5"/>
  <c r="C76" i="5"/>
  <c r="E76" i="5" s="1"/>
  <c r="E78" i="5" s="1"/>
  <c r="D76" i="5"/>
  <c r="B70" i="5"/>
  <c r="D68" i="5" s="1"/>
  <c r="D85" i="5"/>
  <c r="D83" i="5"/>
  <c r="C52" i="5"/>
  <c r="E52" i="5" s="1"/>
  <c r="E54" i="5" s="1"/>
  <c r="D29" i="5"/>
  <c r="D27" i="5"/>
  <c r="C28" i="5"/>
  <c r="E28" i="5" s="1"/>
  <c r="E30" i="5" s="1"/>
  <c r="D28" i="5"/>
  <c r="B20" i="2"/>
  <c r="C44" i="5"/>
  <c r="E44" i="5" s="1"/>
  <c r="B15" i="2"/>
  <c r="C52" i="4"/>
  <c r="B13" i="3"/>
  <c r="B16" i="2"/>
  <c r="C70" i="5"/>
  <c r="E70" i="5"/>
  <c r="B46" i="5"/>
  <c r="B38" i="5"/>
  <c r="C22" i="5"/>
  <c r="E52" i="4"/>
  <c r="E53" i="4" s="1"/>
  <c r="E68" i="4"/>
  <c r="C72" i="4"/>
  <c r="C73" i="4" s="1"/>
  <c r="C102" i="4"/>
  <c r="C92" i="4"/>
  <c r="E92" i="4" s="1"/>
  <c r="B42" i="4"/>
  <c r="E42" i="4"/>
  <c r="E43" i="4" s="1"/>
  <c r="E22" i="4"/>
  <c r="E23" i="4" s="1"/>
  <c r="E62" i="4"/>
  <c r="B62" i="4"/>
  <c r="B63" i="4" s="1"/>
  <c r="B83" i="4"/>
  <c r="D82" i="4" s="1"/>
  <c r="C63" i="4"/>
  <c r="C53" i="4"/>
  <c r="E28" i="4"/>
  <c r="C32" i="4"/>
  <c r="C33" i="4" s="1"/>
  <c r="D34" i="3"/>
  <c r="D33" i="3"/>
  <c r="F33" i="3" s="1"/>
  <c r="E33" i="3" s="1"/>
  <c r="D13" i="3"/>
  <c r="D12" i="3"/>
  <c r="F12" i="3" s="1"/>
  <c r="C46" i="5" l="1"/>
  <c r="D53" i="5"/>
  <c r="D52" i="5"/>
  <c r="C78" i="5"/>
  <c r="D45" i="5"/>
  <c r="D43" i="5"/>
  <c r="D37" i="5"/>
  <c r="D35" i="5"/>
  <c r="D69" i="5"/>
  <c r="D67" i="5"/>
  <c r="D59" i="5"/>
  <c r="D61" i="5"/>
  <c r="D44" i="5"/>
  <c r="C30" i="5"/>
  <c r="D60" i="5"/>
  <c r="D36" i="5"/>
  <c r="E86" i="5"/>
  <c r="C86" i="5"/>
  <c r="E62" i="5"/>
  <c r="C62" i="5"/>
  <c r="C54" i="5"/>
  <c r="E46" i="5"/>
  <c r="E38" i="5"/>
  <c r="C38" i="5"/>
  <c r="D80" i="4"/>
  <c r="D78" i="4"/>
  <c r="D79" i="4"/>
  <c r="D81" i="4"/>
  <c r="D22" i="4"/>
  <c r="B43" i="4"/>
  <c r="D42" i="4" s="1"/>
  <c r="E32" i="4"/>
  <c r="E33" i="4" s="1"/>
  <c r="E72" i="4"/>
  <c r="E73" i="4" s="1"/>
  <c r="B72" i="4"/>
  <c r="E102" i="4"/>
  <c r="E103" i="4" s="1"/>
  <c r="B102" i="4"/>
  <c r="C103" i="4"/>
  <c r="C93" i="4"/>
  <c r="B92" i="4"/>
  <c r="E93" i="4"/>
  <c r="E63" i="4"/>
  <c r="B53" i="4"/>
  <c r="D52" i="4" s="1"/>
  <c r="C43" i="4"/>
  <c r="B23" i="2" l="1"/>
  <c r="D32" i="4"/>
  <c r="D38" i="4"/>
  <c r="D39" i="4"/>
  <c r="D41" i="4"/>
  <c r="D40" i="4"/>
  <c r="D18" i="4"/>
  <c r="D19" i="4"/>
  <c r="D20" i="4"/>
  <c r="D21" i="4"/>
  <c r="D50" i="4"/>
  <c r="D49" i="4"/>
  <c r="D51" i="4"/>
  <c r="D48" i="4"/>
  <c r="B73" i="4"/>
  <c r="B103" i="4"/>
  <c r="D102" i="4" s="1"/>
  <c r="B93" i="4"/>
  <c r="D92" i="4" s="1"/>
  <c r="D20" i="5" l="1"/>
  <c r="D19" i="5"/>
  <c r="D21" i="5"/>
  <c r="D69" i="4"/>
  <c r="D70" i="4"/>
  <c r="D71" i="4"/>
  <c r="D68" i="4"/>
  <c r="D29" i="4"/>
  <c r="D31" i="4"/>
  <c r="D28" i="4"/>
  <c r="D30" i="4"/>
  <c r="D88" i="4"/>
  <c r="D91" i="4"/>
  <c r="D90" i="4"/>
  <c r="D89" i="4"/>
  <c r="D72" i="4"/>
  <c r="D99" i="4"/>
  <c r="D98" i="4"/>
  <c r="D100" i="4"/>
  <c r="D101" i="4"/>
  <c r="G38" i="3" l="1"/>
  <c r="G17" i="3"/>
  <c r="B26" i="2" s="1"/>
  <c r="B42" i="3" l="1"/>
  <c r="F42" i="3"/>
  <c r="F21" i="3"/>
  <c r="G21" i="3" s="1"/>
  <c r="G22" i="3" s="1"/>
  <c r="G42" i="3" l="1"/>
  <c r="G43" i="3" s="1"/>
  <c r="G44" i="3" s="1"/>
  <c r="B25" i="2" l="1"/>
  <c r="B27" i="2" l="1"/>
  <c r="D117" i="1"/>
  <c r="C107" i="1"/>
  <c r="D107" i="1" s="1"/>
  <c r="C113" i="1"/>
  <c r="D113" i="1" s="1"/>
  <c r="C112" i="1"/>
  <c r="D112" i="1" s="1"/>
  <c r="C111" i="1"/>
  <c r="D111" i="1" s="1"/>
  <c r="C110" i="1"/>
  <c r="D110" i="1" s="1"/>
  <c r="C109" i="1"/>
  <c r="D109" i="1" s="1"/>
  <c r="C108" i="1"/>
  <c r="D108" i="1" s="1"/>
  <c r="B65" i="1"/>
  <c r="D114" i="1" l="1"/>
  <c r="D116" i="1" s="1"/>
  <c r="D118" i="1" s="1"/>
  <c r="D119" i="1" s="1"/>
  <c r="B9" i="2" s="1"/>
  <c r="D77" i="1" l="1"/>
  <c r="B11" i="1"/>
  <c r="B10" i="1"/>
  <c r="D78" i="1"/>
  <c r="F78" i="1" s="1"/>
  <c r="D79" i="1"/>
  <c r="F79" i="1" s="1"/>
  <c r="B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3" i="1"/>
  <c r="B68" i="1"/>
  <c r="B67" i="1"/>
  <c r="B66" i="1"/>
  <c r="D65" i="1"/>
  <c r="F65" i="1" s="1"/>
  <c r="L65" i="1" s="1"/>
  <c r="B64" i="1"/>
  <c r="B63" i="1"/>
  <c r="B62" i="1"/>
  <c r="B61" i="1"/>
  <c r="B58" i="1"/>
  <c r="B57" i="1"/>
  <c r="B60" i="1"/>
  <c r="B59" i="1"/>
  <c r="G53" i="1"/>
  <c r="B44" i="1"/>
  <c r="B43" i="1"/>
  <c r="B42" i="1"/>
  <c r="B40" i="1"/>
  <c r="B39" i="1"/>
  <c r="B38" i="1"/>
  <c r="B37" i="1"/>
  <c r="B34" i="1"/>
  <c r="B33" i="1"/>
  <c r="B36" i="1"/>
  <c r="B35" i="1"/>
  <c r="G30" i="1"/>
  <c r="D11" i="1"/>
  <c r="F11" i="1" s="1"/>
  <c r="B21" i="1"/>
  <c r="B20" i="1"/>
  <c r="B19" i="1"/>
  <c r="B18" i="1"/>
  <c r="D18" i="1" s="1"/>
  <c r="F18" i="1" s="1"/>
  <c r="B17" i="1"/>
  <c r="B16" i="1"/>
  <c r="B15" i="1"/>
  <c r="B14" i="1"/>
  <c r="B13" i="1"/>
  <c r="B12" i="1"/>
  <c r="G7" i="1"/>
  <c r="B12" i="2" s="1"/>
  <c r="D42" i="1" l="1"/>
  <c r="F42" i="1" s="1"/>
  <c r="D58" i="1"/>
  <c r="F58" i="1" s="1"/>
  <c r="D14" i="1"/>
  <c r="F14" i="1" s="1"/>
  <c r="D21" i="1"/>
  <c r="F21" i="1" s="1"/>
  <c r="D40" i="1"/>
  <c r="F40" i="1" s="1"/>
  <c r="D60" i="1"/>
  <c r="F60" i="1" s="1"/>
  <c r="D17" i="1"/>
  <c r="F17" i="1" s="1"/>
  <c r="D62" i="1"/>
  <c r="F62" i="1" s="1"/>
  <c r="D64" i="1"/>
  <c r="F64" i="1" s="1"/>
  <c r="E35" i="1"/>
  <c r="D66" i="1"/>
  <c r="F66" i="1" s="1"/>
  <c r="D36" i="1"/>
  <c r="F36" i="1" s="1"/>
  <c r="D68" i="1"/>
  <c r="F68" i="1" s="1"/>
  <c r="D12" i="1"/>
  <c r="F12" i="1" s="1"/>
  <c r="D13" i="1"/>
  <c r="F13" i="1" s="1"/>
  <c r="D59" i="1"/>
  <c r="F59" i="1" s="1"/>
  <c r="D16" i="1"/>
  <c r="F16" i="1" s="1"/>
  <c r="D19" i="1"/>
  <c r="F19" i="1" s="1"/>
  <c r="D67" i="1"/>
  <c r="F67" i="1" s="1"/>
  <c r="B23" i="1"/>
  <c r="E18" i="1" s="1"/>
  <c r="D43" i="1"/>
  <c r="F43" i="1" s="1"/>
  <c r="E43" i="1"/>
  <c r="D44" i="1"/>
  <c r="F44" i="1" s="1"/>
  <c r="D15" i="1"/>
  <c r="F15" i="1" s="1"/>
  <c r="D57" i="1"/>
  <c r="D61" i="1"/>
  <c r="F61" i="1" s="1"/>
  <c r="D20" i="1"/>
  <c r="F20" i="1" s="1"/>
  <c r="B46" i="1"/>
  <c r="E44" i="1" s="1"/>
  <c r="D37" i="1"/>
  <c r="F37" i="1" s="1"/>
  <c r="E37" i="1"/>
  <c r="D38" i="1"/>
  <c r="F38" i="1" s="1"/>
  <c r="E38" i="1"/>
  <c r="D39" i="1"/>
  <c r="F39" i="1" s="1"/>
  <c r="E39" i="1"/>
  <c r="B22" i="1"/>
  <c r="L18" i="1"/>
  <c r="D35" i="1"/>
  <c r="F35" i="1" s="1"/>
  <c r="D33" i="1"/>
  <c r="D41" i="1"/>
  <c r="D101" i="1"/>
  <c r="D63" i="1"/>
  <c r="F63" i="1" s="1"/>
  <c r="B69" i="1"/>
  <c r="D80" i="1"/>
  <c r="F77" i="1"/>
  <c r="F80" i="1" s="1"/>
  <c r="D34" i="1"/>
  <c r="F34" i="1" s="1"/>
  <c r="B45" i="1"/>
  <c r="D10" i="1"/>
  <c r="F41" i="1" l="1"/>
  <c r="L41" i="1" s="1"/>
  <c r="B10" i="2" s="1"/>
  <c r="E41" i="1"/>
  <c r="E17" i="1"/>
  <c r="E16" i="1"/>
  <c r="E40" i="1"/>
  <c r="E13" i="1"/>
  <c r="E21" i="1"/>
  <c r="D69" i="1"/>
  <c r="F69" i="1" s="1"/>
  <c r="E12" i="1"/>
  <c r="E19" i="1"/>
  <c r="E10" i="1"/>
  <c r="E11" i="1"/>
  <c r="F33" i="1"/>
  <c r="D46" i="1"/>
  <c r="F57" i="1"/>
  <c r="F70" i="1" s="1"/>
  <c r="D70" i="1"/>
  <c r="E33" i="1"/>
  <c r="E20" i="1"/>
  <c r="E14" i="1"/>
  <c r="B70" i="1"/>
  <c r="E15" i="1"/>
  <c r="E36" i="1"/>
  <c r="E34" i="1"/>
  <c r="E42" i="1"/>
  <c r="D45" i="1"/>
  <c r="F45" i="1" s="1"/>
  <c r="E45" i="1"/>
  <c r="E22" i="1"/>
  <c r="D102" i="1"/>
  <c r="D22" i="1"/>
  <c r="F22" i="1" s="1"/>
  <c r="B11" i="2" l="1"/>
  <c r="B28" i="2" s="1"/>
  <c r="D23" i="1"/>
  <c r="E65" i="1"/>
  <c r="E66" i="1"/>
  <c r="E68" i="1"/>
  <c r="E59" i="1"/>
  <c r="E64" i="1"/>
  <c r="E58" i="1"/>
  <c r="E63" i="1"/>
  <c r="E57" i="1"/>
  <c r="E61" i="1"/>
  <c r="E60" i="1"/>
  <c r="E62" i="1"/>
  <c r="E67" i="1"/>
  <c r="E69" i="1"/>
  <c r="F23" i="1" l="1"/>
  <c r="F46" i="1"/>
  <c r="C83" i="4" l="1"/>
  <c r="E83" i="4"/>
  <c r="B17" i="2" s="1"/>
  <c r="B1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Kristiina Lobrev</author>
  </authors>
  <commentList>
    <comment ref="I3" authorId="0" shapeId="0" xr:uid="{F145037A-4BF5-4C92-B15E-7B1CBFAAB6CD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Kululoendis toodud maht</t>
        </r>
      </text>
    </comment>
    <comment ref="B9" authorId="0" shapeId="0" xr:uid="{6C60A631-7839-4860-9AC1-86429B1EAEF3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I26" authorId="0" shapeId="0" xr:uid="{FEDE0061-9745-49D0-93DF-8495A51F017C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Kululoendis toodud maht</t>
        </r>
      </text>
    </comment>
    <comment ref="B32" authorId="0" shapeId="0" xr:uid="{2CDCB4AE-BCDB-45EC-9842-38F93B6B4E1F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I49" authorId="0" shapeId="0" xr:uid="{6AD86E22-6C38-4F47-827C-C62C3C2E7AD3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Kululoendis toodud maht</t>
        </r>
      </text>
    </comment>
    <comment ref="B56" authorId="0" shapeId="0" xr:uid="{8681A1CE-AE07-4903-BD89-F714DDBCD4FD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E76" authorId="0" shapeId="0" xr:uid="{C645E92F-85BA-457B-BDBE-27E94C1B005C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Vastavalt hinnapakkumisele
</t>
        </r>
      </text>
    </comment>
    <comment ref="F76" authorId="0" shapeId="0" xr:uid="{D7841939-E49D-4854-8ADB-5128D9EC8C71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Arvestades pakkumise koostamise ajal kehtinud hinda</t>
        </r>
      </text>
    </comment>
    <comment ref="D77" authorId="0" shapeId="0" xr:uid="{B046FC6B-6ABF-45E6-8EA6-814F9A1DDDA0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Arvestatud öötööna ja madalam õhutemperatuur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Kristiina Lobrev</author>
  </authors>
  <commentList>
    <comment ref="B5" authorId="0" shapeId="0" xr:uid="{B85331F2-394B-4B4F-A628-BF19E26D8703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26" authorId="0" shapeId="0" xr:uid="{58C7487E-1E48-40A8-95EB-E8614D8BB688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Kristiina Lobrev</author>
  </authors>
  <commentList>
    <comment ref="D5" authorId="0" shapeId="0" xr:uid="{6D325232-825B-46FD-9035-4A2B99BA844A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24.05 ja 25.05</t>
        </r>
      </text>
    </comment>
    <comment ref="D6" authorId="0" shapeId="0" xr:uid="{C215D953-877D-4379-BF87-AAC746DD6726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27.05 ja 28.05</t>
        </r>
      </text>
    </comment>
    <comment ref="D7" authorId="0" shapeId="0" xr:uid="{D435BF0E-E04F-467F-89C0-BBC929B890C9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22.07</t>
        </r>
      </text>
    </comment>
    <comment ref="D8" authorId="0" shapeId="0" xr:uid="{DC8C89EE-A011-4C6C-8C9B-30AB862BE668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29.05, 01.06, 02.06, 03.06, 04.06, 05.06, 08.06, 09.06, 10.06 + 1 päev oli lisaks ATV</t>
        </r>
      </text>
    </comment>
    <comment ref="D9" authorId="0" shapeId="0" xr:uid="{1CEF765A-C02A-4ACC-9F56-17459F2A3B35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teeostati 24.07</t>
        </r>
      </text>
    </comment>
    <comment ref="D10" authorId="0" shapeId="0" xr:uid="{AB4856B1-364E-4998-947F-FAE51C1AC901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27.07</t>
        </r>
      </text>
    </comment>
    <comment ref="D11" authorId="0" shapeId="0" xr:uid="{9D8A9B0A-13C1-4970-A476-9D7645690EC8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28.07</t>
        </r>
      </text>
    </comment>
    <comment ref="D12" authorId="0" shapeId="0" xr:uid="{0C209092-0817-4B4C-A75B-48B23890E0C8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23.07</t>
        </r>
      </text>
    </comment>
    <comment ref="D13" authorId="0" shapeId="0" xr:uid="{80319137-109F-413B-8292-C68E437C2F86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23.07</t>
        </r>
      </text>
    </comment>
    <comment ref="B17" authorId="0" shapeId="0" xr:uid="{60F3A762-BFD3-4BEB-816C-C43D063E0794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27" authorId="0" shapeId="0" xr:uid="{8A9C619B-53B5-4D7B-98C7-53D5A98FF75E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37" authorId="0" shapeId="0" xr:uid="{9881E8D9-1240-44AC-A937-EC404147F53C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47" authorId="0" shapeId="0" xr:uid="{D09D3DFA-60E3-425B-A7AE-9C2CEFC33B0F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57" authorId="0" shapeId="0" xr:uid="{D0B78E97-766F-499A-AC41-9074EEA9FB2E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67" authorId="0" shapeId="0" xr:uid="{AD1A75F2-F73E-4F08-92BC-72C1D8F63FC1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77" authorId="0" shapeId="0" xr:uid="{16A1E2F7-E711-4010-B33C-18F606982538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87" authorId="0" shapeId="0" xr:uid="{0F0EF2E1-C2CB-47E9-A189-77F806572FCA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97" authorId="0" shapeId="0" xr:uid="{752D95E4-BCC6-4725-B7A0-DB095E425DD5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Kristiina Lobrev</author>
  </authors>
  <commentList>
    <comment ref="D5" authorId="0" shapeId="0" xr:uid="{5452AC33-AC63-4007-82FD-55E27B9176D9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24.05 ja 25.05</t>
        </r>
      </text>
    </comment>
    <comment ref="D6" authorId="0" shapeId="0" xr:uid="{0E796F24-CA35-4062-A85E-6598FE134367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27.05 ja 28.05</t>
        </r>
      </text>
    </comment>
    <comment ref="D7" authorId="0" shapeId="0" xr:uid="{5C3D765B-3477-4433-B19B-E879676FD9EB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29.05, 01.06, 02.06, 03.06, 04.06, 05.06, 08.06, 09.06, 10.06 + 1 päev oli lisaks ATV</t>
        </r>
      </text>
    </comment>
    <comment ref="D8" authorId="0" shapeId="0" xr:uid="{5E08BF78-D116-4357-954C-A6390E346C65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29.05, 01.06, 02.06, 03.06, 04.06, 05.06, 08.06, 09.06, 10.06 + 1 päev oli lisaks ATV</t>
        </r>
      </text>
    </comment>
    <comment ref="D9" authorId="0" shapeId="0" xr:uid="{54BA7EF5-BCA5-4F3D-98F0-400E29C231DA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21.07</t>
        </r>
      </text>
    </comment>
    <comment ref="D10" authorId="0" shapeId="0" xr:uid="{41F119F9-E365-4A2B-A4FE-A51D6A60043E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15.06 ja 16.06</t>
        </r>
      </text>
    </comment>
    <comment ref="D11" authorId="0" shapeId="0" xr:uid="{AEF7DE3B-DA95-4A81-96F4-0322C913EE1A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15.06 ja 16.06</t>
        </r>
      </text>
    </comment>
    <comment ref="D12" authorId="0" shapeId="0" xr:uid="{7BF885D7-CB38-4B5A-AA55-74BECBA1A18B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21.07</t>
        </r>
      </text>
    </comment>
    <comment ref="D13" authorId="0" shapeId="0" xr:uid="{B0F1BD54-5786-4080-BA10-610AD6F2C111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Töid teostati 21.07</t>
        </r>
      </text>
    </comment>
    <comment ref="B18" authorId="0" shapeId="0" xr:uid="{2B14AE06-855D-4153-8478-9FCCFD2FC358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26" authorId="0" shapeId="0" xr:uid="{26C8E00C-B318-41F5-AF7F-E957DA3F127A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34" authorId="0" shapeId="0" xr:uid="{70CADF5F-BCC1-4E21-B9B6-11329A87CDAA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42" authorId="0" shapeId="0" xr:uid="{020B0048-8161-481A-8879-7313EE785E71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50" authorId="0" shapeId="0" xr:uid="{D9E67D29-A988-48E5-8FAE-299BCE090812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58" authorId="0" shapeId="0" xr:uid="{D02168CD-A57E-4887-BD7F-6A7896EFE1F9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66" authorId="0" shapeId="0" xr:uid="{E9A5A8FE-D7A5-4C03-B4E2-BCC7BEECBE97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74" authorId="0" shapeId="0" xr:uid="{48334CDD-DE11-4C33-B594-E7209A6EE783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  <comment ref="B82" authorId="0" shapeId="0" xr:uid="{A8C983B9-C516-4621-9432-1423263435BC}">
      <text>
        <r>
          <rPr>
            <b/>
            <sz val="9"/>
            <color indexed="81"/>
            <rFont val="Segoe UI"/>
            <family val="2"/>
            <charset val="186"/>
          </rPr>
          <t>Kristiina Lobrev:</t>
        </r>
        <r>
          <rPr>
            <sz val="9"/>
            <color indexed="81"/>
            <rFont val="Segoe UI"/>
            <family val="2"/>
            <charset val="186"/>
          </rPr>
          <t xml:space="preserve">
Ühikhinna kujunemine</t>
        </r>
      </text>
    </comment>
  </commentList>
</comments>
</file>

<file path=xl/sharedStrings.xml><?xml version="1.0" encoding="utf-8"?>
<sst xmlns="http://schemas.openxmlformats.org/spreadsheetml/2006/main" count="852" uniqueCount="246">
  <si>
    <t>Objekt 1 - Riigitee nr 2 Tallinn-Tartu-Võru-Luhamaa km 125.687-129.831 remix</t>
  </si>
  <si>
    <r>
      <t>m</t>
    </r>
    <r>
      <rPr>
        <vertAlign val="superscript"/>
        <sz val="11"/>
        <color theme="1"/>
        <rFont val="Times New Roman"/>
        <family val="1"/>
        <charset val="186"/>
      </rPr>
      <t>2</t>
    </r>
  </si>
  <si>
    <t>ööd</t>
  </si>
  <si>
    <t>Artikli nr</t>
  </si>
  <si>
    <t>Makseartikli nimetus</t>
  </si>
  <si>
    <t>Mõõtühik</t>
  </si>
  <si>
    <t>Üh.hind</t>
  </si>
  <si>
    <t>Summa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</si>
  <si>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</si>
  <si>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a</t>
  </si>
  <si>
    <t>Sõidurajaremix; SMA16</t>
  </si>
  <si>
    <t>Materjal/mehhanism/ettevõte</t>
  </si>
  <si>
    <t>Maksumus kokku, €</t>
  </si>
  <si>
    <t>Märkused</t>
  </si>
  <si>
    <r>
      <t>€/m</t>
    </r>
    <r>
      <rPr>
        <b/>
        <vertAlign val="superscript"/>
        <sz val="11"/>
        <color theme="1"/>
        <rFont val="Times New Roman"/>
        <family val="1"/>
        <charset val="186"/>
      </rPr>
      <t>2</t>
    </r>
  </si>
  <si>
    <t>Maksumus, €</t>
  </si>
  <si>
    <t>Vedelgaas</t>
  </si>
  <si>
    <r>
      <t>Vedelgaasi hind 650€/t ning kulu 0.75kg/m</t>
    </r>
    <r>
      <rPr>
        <vertAlign val="superscript"/>
        <sz val="11"/>
        <color theme="1"/>
        <rFont val="Times New Roman"/>
        <family val="1"/>
        <charset val="186"/>
      </rPr>
      <t>2</t>
    </r>
  </si>
  <si>
    <t>SMA 16</t>
  </si>
  <si>
    <t>Eritreiler (remixer) - Muuga sadam - Neanurme - Tallinn</t>
  </si>
  <si>
    <t>Vahemaa 140km (x 2) ja hind 3.5€/km</t>
  </si>
  <si>
    <t>Tavaline treiler (rullid) - Tartu - Muuga sadam - Neanurme - Tartu</t>
  </si>
  <si>
    <t>Vahemaa 200km (x 2) ja hind 1.7€/km</t>
  </si>
  <si>
    <t>Asfalttikallio OY öötöö</t>
  </si>
  <si>
    <r>
      <t>2.02€/m</t>
    </r>
    <r>
      <rPr>
        <vertAlign val="superscript"/>
        <sz val="11"/>
        <color theme="1"/>
        <rFont val="Times New Roman"/>
        <family val="1"/>
        <charset val="186"/>
      </rPr>
      <t>2</t>
    </r>
  </si>
  <si>
    <t>Majutus</t>
  </si>
  <si>
    <t>10 inimest ja 50€/öö</t>
  </si>
  <si>
    <t>Töömees</t>
  </si>
  <si>
    <t>4 ööd ja 14h/tööpäev</t>
  </si>
  <si>
    <t>Töölise/kütuse transport</t>
  </si>
  <si>
    <t>4 tööpäeva</t>
  </si>
  <si>
    <t>Asfaldi vedu</t>
  </si>
  <si>
    <t>4ööd, 49€/h, 4tk ja 12h</t>
  </si>
  <si>
    <t>Vee- ja harjaauto</t>
  </si>
  <si>
    <t>4 tööpäeva ja 10h/päev</t>
  </si>
  <si>
    <t>Soolokallur</t>
  </si>
  <si>
    <t>Minilaadur</t>
  </si>
  <si>
    <t>4 tööpäeva ja 8h/päev</t>
  </si>
  <si>
    <t>Muud kulud</t>
  </si>
  <si>
    <r>
      <t>€/m</t>
    </r>
    <r>
      <rPr>
        <vertAlign val="superscript"/>
        <sz val="11"/>
        <color theme="1"/>
        <rFont val="Times New Roman"/>
        <family val="1"/>
        <charset val="186"/>
      </rPr>
      <t>2</t>
    </r>
  </si>
  <si>
    <t>Osakaal hinnast, %</t>
  </si>
  <si>
    <t>Objekt 2 - Riigitee nr 2 Tallinn-Tartu-Võru-Luhamaa km 215.446-222.746 remix</t>
  </si>
  <si>
    <t>Sõidurajaremix; AC 16 Surf</t>
  </si>
  <si>
    <t>AC 16 surf</t>
  </si>
  <si>
    <r>
      <t>AC 16 surf hind 68.90€/t ning kulu 15kg/m</t>
    </r>
    <r>
      <rPr>
        <vertAlign val="superscript"/>
        <sz val="11"/>
        <color theme="1"/>
        <rFont val="Times New Roman"/>
        <family val="1"/>
        <charset val="186"/>
      </rPr>
      <t>2</t>
    </r>
  </si>
  <si>
    <t>Eritreiler (remixer) - Tallinn - Neanurme - Saverna - Tallinn</t>
  </si>
  <si>
    <t>Vahemaa 250km (x 2) ja hind 3.5€/km</t>
  </si>
  <si>
    <t>Tavaline treiler (rullid) - Tartu - Neanurme - Saverna - Tartu</t>
  </si>
  <si>
    <t>Vahemaa 200km ja hind 1.7€/km</t>
  </si>
  <si>
    <r>
      <t>1.95€/m</t>
    </r>
    <r>
      <rPr>
        <vertAlign val="superscript"/>
        <sz val="11"/>
        <color theme="1"/>
        <rFont val="Times New Roman"/>
        <family val="1"/>
        <charset val="186"/>
      </rPr>
      <t>2</t>
    </r>
  </si>
  <si>
    <t>Objekt 3 - Riigitee nr 3 Jõhvi-Tartu-Valga km 155.421-174.493 remix</t>
  </si>
  <si>
    <t>Vahemaa 300km (x 2) ja hind 3.5€/km</t>
  </si>
  <si>
    <r>
      <t>1.82€/m</t>
    </r>
    <r>
      <rPr>
        <vertAlign val="superscript"/>
        <sz val="11"/>
        <color theme="1"/>
        <rFont val="Times New Roman"/>
        <family val="1"/>
        <charset val="186"/>
      </rPr>
      <t>2</t>
    </r>
  </si>
  <si>
    <t>10 ööd ja 14h/tööpäev</t>
  </si>
  <si>
    <t>10 tööpäeva</t>
  </si>
  <si>
    <t>10 ööd, 49€/h, 4tk ja 10h</t>
  </si>
  <si>
    <t>10 tööpäeva ja 10h/päev</t>
  </si>
  <si>
    <t>10 tööpäeva ja 8h/päev</t>
  </si>
  <si>
    <r>
      <t>m</t>
    </r>
    <r>
      <rPr>
        <sz val="10"/>
        <rFont val="Aptos Narrow"/>
        <family val="2"/>
      </rPr>
      <t>²</t>
    </r>
  </si>
  <si>
    <t>Tarnija</t>
  </si>
  <si>
    <t>Vedelgaas OÜ</t>
  </si>
  <si>
    <t>Nädala lõikes vastavalt saatelehtedele ja kehtivale gaasi hinnale (arved, saatelehed)</t>
  </si>
  <si>
    <t xml:space="preserve">Pakkumises arvestatud </t>
  </si>
  <si>
    <t>Pakkumise koostamise ajal</t>
  </si>
  <si>
    <t>Objekt</t>
  </si>
  <si>
    <t xml:space="preserve">Makseartikli nimetus </t>
  </si>
  <si>
    <r>
      <t>Remixi maht kokku, m</t>
    </r>
    <r>
      <rPr>
        <vertAlign val="superscript"/>
        <sz val="12"/>
        <color theme="1"/>
        <rFont val="Times New Roman"/>
        <family val="1"/>
        <charset val="186"/>
      </rPr>
      <t>2</t>
    </r>
  </si>
  <si>
    <t>Vedelgaasi kogus arvutuslik, t</t>
  </si>
  <si>
    <t>Vedelgaasi hind, €/t</t>
  </si>
  <si>
    <t>Objekt 1 - T2 km 125.687-129.831</t>
  </si>
  <si>
    <t>REMIX meetod, SMA 16</t>
  </si>
  <si>
    <t>Objekt 2 - T2 km 215.446-222.746</t>
  </si>
  <si>
    <t>REMIX meetod, AC 16 surf</t>
  </si>
  <si>
    <t>Objekt 3 - T3 km 155.421-174.493</t>
  </si>
  <si>
    <t>Tankimise kuupäev</t>
  </si>
  <si>
    <t>Kogus, t</t>
  </si>
  <si>
    <t>Hind, €/t</t>
  </si>
  <si>
    <t>Summa, €</t>
  </si>
  <si>
    <t>22.07.2026 hommik</t>
  </si>
  <si>
    <t>22.07.2026 õhtu</t>
  </si>
  <si>
    <t>Tarnitud kogus kokku, t</t>
  </si>
  <si>
    <t>42106*BHK</t>
  </si>
  <si>
    <t>BORNIT vuukide töötlemiseks ja töö teostamine, valve</t>
  </si>
  <si>
    <t xml:space="preserve">Tööde teostamine: </t>
  </si>
  <si>
    <t>Juuni - juuli 2026</t>
  </si>
  <si>
    <t>Kokku teostatud tööde maht</t>
  </si>
  <si>
    <t>päeva</t>
  </si>
  <si>
    <r>
      <t>SMA 16 hind 77.20€/t ning kulu 15kg/m</t>
    </r>
    <r>
      <rPr>
        <vertAlign val="superscript"/>
        <sz val="11"/>
        <color theme="1"/>
        <rFont val="Times New Roman"/>
        <family val="1"/>
        <charset val="186"/>
      </rPr>
      <t>2</t>
    </r>
  </si>
  <si>
    <t>Tööde teostamise ajal</t>
  </si>
  <si>
    <t>Vedelgaasi kallinemine, €</t>
  </si>
  <si>
    <t>Transport</t>
  </si>
  <si>
    <t>Tööpäevade arv, tk</t>
  </si>
  <si>
    <t>Veo kallinemine, €/t</t>
  </si>
  <si>
    <t>AC 16 surf, h=6cm</t>
  </si>
  <si>
    <t>AC 16 surf, h=5cm</t>
  </si>
  <si>
    <t>AC 8 surf, h=5cm</t>
  </si>
  <si>
    <t>AC 32 base, h=7cm</t>
  </si>
  <si>
    <t>AC 32 base, h=6cm</t>
  </si>
  <si>
    <t>Asfalttikallio OY</t>
  </si>
  <si>
    <t>Remixer RX4500</t>
  </si>
  <si>
    <t>Kuumuti (Scania/Volvo)</t>
  </si>
  <si>
    <t>Minilaadur Komatsu SK815</t>
  </si>
  <si>
    <t xml:space="preserve">Teerull HD 80i VO-s </t>
  </si>
  <si>
    <t>REMIX KOKKU</t>
  </si>
  <si>
    <t>Masinad</t>
  </si>
  <si>
    <t>Keskmine kütusekulu tunnis, l/h</t>
  </si>
  <si>
    <t>Töötunde kokku, h</t>
  </si>
  <si>
    <t>Kütusekulu 2026 kokku, l</t>
  </si>
  <si>
    <t xml:space="preserve">Diisli hind pakkumise ajal, €/l </t>
  </si>
  <si>
    <t>Pakkumise ajal kütuse maksumus kokku, €</t>
  </si>
  <si>
    <t xml:space="preserve">Diisli hind tööde teostamise ajal, €/l </t>
  </si>
  <si>
    <t>Tööde teostamise ajal kütuse maksumus kokku, €</t>
  </si>
  <si>
    <t>Lõuna regiooni asfaltkatete kuumtaastamine remix meetodil ja Waide ristmiku ümber ehitus</t>
  </si>
  <si>
    <t>Tee-ehituse töövõtuleping</t>
  </si>
  <si>
    <t>3.2-3/26/258-1</t>
  </si>
  <si>
    <t>Viitenumber</t>
  </si>
  <si>
    <t>Vedelgaasi kallinemine (propaani-butaani segu kuumutitele, €)</t>
  </si>
  <si>
    <t>Kallinemine, €</t>
  </si>
  <si>
    <t>PEENARDE KINDLUSTAMINE</t>
  </si>
  <si>
    <t>2026 algus</t>
  </si>
  <si>
    <t>Pärast sõda</t>
  </si>
  <si>
    <t>Maht kokku, t</t>
  </si>
  <si>
    <t>Veomaa, km</t>
  </si>
  <si>
    <t>Puistematerjal EUR (t/km)</t>
  </si>
  <si>
    <t>Puistematerjal EUR (t/km) vahe</t>
  </si>
  <si>
    <t>Peenarde kindlustamine, h=5cm</t>
  </si>
  <si>
    <t>Objekt 4 - Riigitee nr 3 Jõhvi-Tartu-Valga km 162.837 asuva Waide ristmiku ümberehitamine</t>
  </si>
  <si>
    <r>
      <t>Peenarde kindlustamine , h</t>
    </r>
    <r>
      <rPr>
        <vertAlign val="subscript"/>
        <sz val="11"/>
        <rFont val="Times New Roman"/>
        <family val="1"/>
        <charset val="186"/>
      </rPr>
      <t>kesk</t>
    </r>
    <r>
      <rPr>
        <sz val="11"/>
        <rFont val="Times New Roman"/>
        <family val="1"/>
        <charset val="186"/>
      </rPr>
      <t>=5 cm</t>
    </r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</si>
  <si>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</si>
  <si>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0/16</t>
  </si>
  <si>
    <t>Vedu</t>
  </si>
  <si>
    <t>Treiler</t>
  </si>
  <si>
    <t>Auto</t>
  </si>
  <si>
    <t>Laotamine</t>
  </si>
  <si>
    <t>Vedu 67km ja 0.09 €/tkm</t>
  </si>
  <si>
    <t>Vahemaa 240km (x 2) ja hind 1.7€/km</t>
  </si>
  <si>
    <t>140€/h ja 4 tööpäeva</t>
  </si>
  <si>
    <t>Parandustööd tähispostide paigaldamise järgselt</t>
  </si>
  <si>
    <t xml:space="preserve">Laotur ja töömees </t>
  </si>
  <si>
    <t>Kokku kallinemine objekt 2, €</t>
  </si>
  <si>
    <t>Vedu 90 km ja 0.083 €/tkm</t>
  </si>
  <si>
    <t>4 tööpäeva ja 14h/tööpäev</t>
  </si>
  <si>
    <t>12 tööpäeva ja 14h/tööpäev</t>
  </si>
  <si>
    <t>12 tööpäeva</t>
  </si>
  <si>
    <t>ASFALTEERIMINE</t>
  </si>
  <si>
    <t>43002b*BHK</t>
  </si>
  <si>
    <t>43002c*BHK</t>
  </si>
  <si>
    <t>43002a*BHK</t>
  </si>
  <si>
    <t>43003a*BHK</t>
  </si>
  <si>
    <t>43003b*BHK</t>
  </si>
  <si>
    <t>Segu</t>
  </si>
  <si>
    <t>Vedu (€/päev)</t>
  </si>
  <si>
    <t>Töömehed ja tööjuht (€/päev)</t>
  </si>
  <si>
    <t>Masinad (€/päev)</t>
  </si>
  <si>
    <t>Muud (€/päev)</t>
  </si>
  <si>
    <t>1 T2 km 125.687-129.831</t>
  </si>
  <si>
    <t>2 T2 km 215.446-222.746</t>
  </si>
  <si>
    <t>3 T3 km 155.421-174.493</t>
  </si>
  <si>
    <t>4 T3 km 162.837 Waide ristmiku ümberehitamine</t>
  </si>
  <si>
    <t>3 tööpäeva</t>
  </si>
  <si>
    <t>PAKKUMISES ARVESTATUD</t>
  </si>
  <si>
    <t>TÖÖDE TEOSTAMISE AJAL</t>
  </si>
  <si>
    <t>1 tööpäev</t>
  </si>
  <si>
    <r>
      <t>Maht kokku tegelik, m</t>
    </r>
    <r>
      <rPr>
        <vertAlign val="superscript"/>
        <sz val="11"/>
        <color theme="1"/>
        <rFont val="Times New Roman"/>
        <family val="1"/>
        <charset val="186"/>
      </rPr>
      <t>2</t>
    </r>
  </si>
  <si>
    <t>Asfaldilaotur Vögele 1800-3</t>
  </si>
  <si>
    <t>Teerull Hamm HD 14VV</t>
  </si>
  <si>
    <t>Veeauto Volvo FM 12 harjaga</t>
  </si>
  <si>
    <t>Generaator HX7500</t>
  </si>
  <si>
    <t>Vibroplaat LF75</t>
  </si>
  <si>
    <t>Scania DB4x2 ja gudronaator ast 6000</t>
  </si>
  <si>
    <t>Frees Wirtgen W50</t>
  </si>
  <si>
    <t>Ribapindamise eemaldamine</t>
  </si>
  <si>
    <t>ASFALTEERIMINE KOKKU</t>
  </si>
  <si>
    <t>Juuni - august 2026</t>
  </si>
  <si>
    <t>Mai - juuli 2026</t>
  </si>
  <si>
    <t>FREESIMINE</t>
  </si>
  <si>
    <t>Katte freesimine, h=6cm (defektid)</t>
  </si>
  <si>
    <t>Vapramäe sild, h=5cm</t>
  </si>
  <si>
    <t>Olemasoleva katendi freesimine, h=13cm</t>
  </si>
  <si>
    <t>Olemasoleva katendi freesimine, h=11cm</t>
  </si>
  <si>
    <t>Olemasoleva katendi tasandusfreesimine, h=6cm</t>
  </si>
  <si>
    <t>Olemasoleva katendi tasandusfreesimine, h=5cm</t>
  </si>
  <si>
    <t>40101c</t>
  </si>
  <si>
    <t>40101b</t>
  </si>
  <si>
    <t>40101a</t>
  </si>
  <si>
    <t>40102a</t>
  </si>
  <si>
    <t>40102b</t>
  </si>
  <si>
    <t>Vedu pärast kütuste hinna tõusu (€)</t>
  </si>
  <si>
    <t>Veo kallinemine, €</t>
  </si>
  <si>
    <t>Töömehed ja tööjuht, €</t>
  </si>
  <si>
    <t>Masinad, €</t>
  </si>
  <si>
    <t>Vedu, €</t>
  </si>
  <si>
    <t>Segu, €</t>
  </si>
  <si>
    <t>Katte freesimine, h=6cm (telje mõrad)</t>
  </si>
  <si>
    <t>0.5 tööpäeva</t>
  </si>
  <si>
    <t>0.1 tööpäeva</t>
  </si>
  <si>
    <t>FREESIMINE KOKKU</t>
  </si>
  <si>
    <t>Frees Wirtgen W210/W100CFi</t>
  </si>
  <si>
    <t>Diislikütuse kallinemine (remix), €</t>
  </si>
  <si>
    <t>Diislikütuse kallinemine (remixi asfaldi vedu), €</t>
  </si>
  <si>
    <t>Diislikütuse kallinemine (asfalteerimine), €</t>
  </si>
  <si>
    <t>Diislikütuse kallinemine (asfaldi vedu), €</t>
  </si>
  <si>
    <t>Diislikütuse kallinemine (freesimine), €</t>
  </si>
  <si>
    <t>Diislikütuse kallinemine (freespuru vedu), €</t>
  </si>
  <si>
    <t>Diislikütuse kallinemine (peenramaterjali vedu), €</t>
  </si>
  <si>
    <t>8 tööpäev</t>
  </si>
  <si>
    <t>Muud (emulsioon, valve, treilervedu, jne), €</t>
  </si>
  <si>
    <t>KALLINEMINE</t>
  </si>
  <si>
    <t>ARVUTUSLIK, KUI HINNAD EI OLEKS TÕUSNUD</t>
  </si>
  <si>
    <t>Kallinemine kokku %</t>
  </si>
  <si>
    <r>
      <t xml:space="preserve">Töö maksumus kokku remix </t>
    </r>
    <r>
      <rPr>
        <b/>
        <sz val="12"/>
        <color theme="1"/>
        <rFont val="Times New Roman"/>
        <family val="1"/>
        <charset val="186"/>
      </rPr>
      <t>objekt 1-3</t>
    </r>
    <r>
      <rPr>
        <sz val="12"/>
        <color theme="1"/>
        <rFont val="Times New Roman"/>
        <family val="1"/>
        <charset val="186"/>
      </rPr>
      <t>, €</t>
    </r>
  </si>
  <si>
    <t>REMIX</t>
  </si>
  <si>
    <r>
      <t xml:space="preserve">Töö maksumus kokku remix </t>
    </r>
    <r>
      <rPr>
        <b/>
        <sz val="12"/>
        <color theme="1"/>
        <rFont val="Times New Roman"/>
        <family val="1"/>
        <charset val="186"/>
      </rPr>
      <t>objekt 1-4</t>
    </r>
    <r>
      <rPr>
        <sz val="12"/>
        <color theme="1"/>
        <rFont val="Times New Roman"/>
        <family val="1"/>
        <charset val="186"/>
      </rPr>
      <t>, €</t>
    </r>
  </si>
  <si>
    <r>
      <t xml:space="preserve">Töö maksumus kokku remix </t>
    </r>
    <r>
      <rPr>
        <b/>
        <sz val="12"/>
        <color theme="1"/>
        <rFont val="Times New Roman"/>
        <family val="1"/>
        <charset val="186"/>
      </rPr>
      <t>objekt 2-3</t>
    </r>
    <r>
      <rPr>
        <sz val="12"/>
        <color theme="1"/>
        <rFont val="Times New Roman"/>
        <family val="1"/>
        <charset val="186"/>
      </rPr>
      <t>, €</t>
    </r>
  </si>
  <si>
    <t>Lisa 7 Vedelgaas HP.msg</t>
  </si>
  <si>
    <t>Lisa 8 Vedelgaas_OÜ_263710 (09.06.26).pdf</t>
  </si>
  <si>
    <t>Lisa 9 Vedelgaas_OÜ_263715 (10.06.26).pdf</t>
  </si>
  <si>
    <t>Lisa 10 Vedelgaas_OÜ_263730 (11.06.26).pdf</t>
  </si>
  <si>
    <t>Lisa 11 Vedelgaas_OÜ_263740 (13.06.26).pdf</t>
  </si>
  <si>
    <t>Lisa 12 Vedelgaas_OÜ_263761 (17.06.26).pdf</t>
  </si>
  <si>
    <t>Lisa 13 Vedelgaas_OÜ_264120 (29.06.26).pdf</t>
  </si>
  <si>
    <t>Lisa 14 Vedelgaas_OÜ_264124 (30.06.26).pdf</t>
  </si>
  <si>
    <t>Lisa 15 Vedelgaas_OÜ_264138 (01.07.26).pdf</t>
  </si>
  <si>
    <t>Lisa 16 Vedelgaas_OÜ_264150 (03.07.26).pdf</t>
  </si>
  <si>
    <t>Lisa 17 Vedelgaas_OÜ_264188 (07.07.26).pdf</t>
  </si>
  <si>
    <t>Lisa 18 Vedelgaas_OÜ_264194 (08.07.26).pdf</t>
  </si>
  <si>
    <t>Lisa 19 Vedelgaas_OÜ_264269 (14.07.26).pdf</t>
  </si>
  <si>
    <t>Lisa 20 Vedelgaas_OÜ_264270 (15.07.26).pdf</t>
  </si>
  <si>
    <t>Lisa 21 Vedelgaas_OÜ_264332 (17.07.26).pdf</t>
  </si>
  <si>
    <t>Lisa 22 Vedelgaas_OÜ_264363 (20.07.26).pdf</t>
  </si>
  <si>
    <t>Lisa 23 Vedelgaas_OÜ_264375 (21.07.26).pdf</t>
  </si>
  <si>
    <t>Lisa 24 Vedelgaas_OÜ_264388 (22.07.26H).pdf</t>
  </si>
  <si>
    <t>Lisa 25 Vedelgaas_OÜ_264393 (22.07.26Õ).pdf</t>
  </si>
  <si>
    <t>Lisa 4 011232-25VL 14.11.2025 AS Terminal.pdf</t>
  </si>
  <si>
    <t>Lisa 5 005386-26VL 27.05.2026 AS Terminal.pdf</t>
  </si>
  <si>
    <t>Lisa 6 Arve_NR_260352 16.06.2026 AS Go Oil.pdf</t>
  </si>
  <si>
    <t>Lisa 2 Vedude hinnakiri 2026 Damper Trans OÜ.msg</t>
  </si>
  <si>
    <t>Lisa 3 Hinnapakkumine Damper Trans OÜ (21.05.2026).msg</t>
  </si>
  <si>
    <t>Kallinemise osakaal pakkumise ajal kehtinud vedelgaasi maksumusest kokku, %</t>
  </si>
  <si>
    <t>Kallinemise osakaal pakkumise ajal kehtinud kütuse maksumusest kokku, %</t>
  </si>
  <si>
    <t>Kallinemise osakaal pakkumise ajal kehtinud peenramaterjali veo maksumusest kokku %</t>
  </si>
  <si>
    <t>Kokku kallinemine objekt 3, €</t>
  </si>
  <si>
    <t>Kallinemise osakaal tööde maksumusest kokku %</t>
  </si>
  <si>
    <t>Kallinemise osakaal tööde maksumusest kokku, %</t>
  </si>
  <si>
    <t>Kallinemise osakaal pakkumise ajal kehtinud masinate maksumusest kokku, %</t>
  </si>
  <si>
    <r>
      <t>Vedelgaasi hind 650€/t ning kulu 0.85kg/m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 xml:space="preserve"> - arvestatud öötööna ja madalam õhutemperatuur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</si>
</sst>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%"/>
    <numFmt numFmtId="167" formatCode="0.0000"/>
  </numFmts>
  <fonts count="4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rgb="FF963634"/>
      <name val="Times New Roman"/>
      <family val="1"/>
      <charset val="186"/>
    </font>
    <font>
      <sz val="11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b/>
      <sz val="9"/>
      <color indexed="81"/>
      <name val="Segoe UI"/>
      <family val="2"/>
      <charset val="186"/>
    </font>
    <font>
      <sz val="9"/>
      <color indexed="81"/>
      <name val="Segoe UI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vertAlign val="superscript"/>
      <sz val="11"/>
      <color theme="1"/>
      <name val="Times New Roman"/>
      <family val="1"/>
      <charset val="186"/>
    </font>
    <font>
      <b/>
      <sz val="14"/>
      <color rgb="FF76933C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rgb="FF31869B"/>
      <name val="Times New Roman"/>
      <family val="1"/>
      <charset val="186"/>
    </font>
    <font>
      <sz val="10"/>
      <name val="Aptos Narrow"/>
      <family val="2"/>
    </font>
    <font>
      <b/>
      <sz val="12"/>
      <color rgb="FF0000FF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rgb="FF808080"/>
      <name val="Times New Roman"/>
      <family val="1"/>
      <charset val="186"/>
    </font>
    <font>
      <b/>
      <sz val="11"/>
      <color rgb="FF76933C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vertAlign val="subscript"/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b/>
      <sz val="11"/>
      <color rgb="FF004C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rgb="FF963634"/>
      <name val="Times New Roman"/>
      <family val="1"/>
      <charset val="186"/>
    </font>
    <font>
      <b/>
      <sz val="11"/>
      <color rgb="FF31869B"/>
      <name val="Times New Roman"/>
      <family val="1"/>
      <charset val="186"/>
    </font>
    <font>
      <b/>
      <sz val="11"/>
      <color rgb="FF808080"/>
      <name val="Times New Roman"/>
      <family val="1"/>
      <charset val="186"/>
    </font>
    <font>
      <b/>
      <sz val="11"/>
      <color rgb="FF0000FF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indexed="64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221">
    <xf numFmtId="0" fontId="0" fillId="0" borderId="0" xfId="0"/>
    <xf numFmtId="0" fontId="4" fillId="0" borderId="0" xfId="0" applyFont="1" applyAlignment="1">
      <alignment vertical="center"/>
    </xf>
    <xf numFmtId="0" fontId="9" fillId="0" borderId="1" xfId="2" applyFont="1" applyBorder="1" applyAlignment="1" applyProtection="1">
      <alignment horizontal="center" vertical="center" wrapText="1"/>
      <protection hidden="1"/>
    </xf>
    <xf numFmtId="0" fontId="9" fillId="0" borderId="2" xfId="2" applyFont="1" applyBorder="1" applyAlignment="1" applyProtection="1">
      <alignment horizontal="center" vertical="center" wrapText="1"/>
      <protection hidden="1"/>
    </xf>
    <xf numFmtId="4" fontId="9" fillId="0" borderId="2" xfId="2" applyNumberFormat="1" applyFont="1" applyBorder="1" applyAlignment="1" applyProtection="1">
      <alignment horizontal="center" vertical="center" wrapText="1"/>
      <protection hidden="1"/>
    </xf>
    <xf numFmtId="4" fontId="9" fillId="0" borderId="3" xfId="2" applyNumberFormat="1" applyFont="1" applyBorder="1" applyAlignment="1" applyProtection="1">
      <alignment horizontal="center" vertical="center" wrapText="1"/>
      <protection hidden="1"/>
    </xf>
    <xf numFmtId="0" fontId="10" fillId="0" borderId="4" xfId="2" applyFont="1" applyBorder="1" applyAlignment="1" applyProtection="1">
      <alignment horizontal="center" vertical="center" wrapText="1"/>
      <protection hidden="1"/>
    </xf>
    <xf numFmtId="0" fontId="10" fillId="0" borderId="5" xfId="2" applyFont="1" applyBorder="1" applyAlignment="1" applyProtection="1">
      <alignment horizontal="center" vertical="center" wrapText="1"/>
      <protection hidden="1"/>
    </xf>
    <xf numFmtId="4" fontId="10" fillId="0" borderId="5" xfId="2" applyNumberFormat="1" applyFont="1" applyBorder="1" applyAlignment="1" applyProtection="1">
      <alignment horizontal="center" vertical="center" wrapText="1"/>
      <protection hidden="1"/>
    </xf>
    <xf numFmtId="3" fontId="10" fillId="0" borderId="6" xfId="2" applyNumberFormat="1" applyFont="1" applyBorder="1" applyAlignment="1" applyProtection="1">
      <alignment horizontal="center" vertical="center" wrapText="1"/>
      <protection hidden="1"/>
    </xf>
    <xf numFmtId="0" fontId="10" fillId="0" borderId="9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3" applyFont="1" applyBorder="1" applyAlignment="1">
      <alignment horizontal="left" vertical="center" wrapText="1"/>
    </xf>
    <xf numFmtId="0" fontId="10" fillId="0" borderId="11" xfId="2" applyFont="1" applyBorder="1" applyAlignment="1">
      <alignment horizontal="center" vertical="center"/>
    </xf>
    <xf numFmtId="4" fontId="10" fillId="0" borderId="12" xfId="2" applyNumberFormat="1" applyFont="1" applyBorder="1" applyAlignment="1" applyProtection="1">
      <alignment horizontal="center" vertical="center" wrapText="1"/>
      <protection hidden="1"/>
    </xf>
    <xf numFmtId="4" fontId="10" fillId="0" borderId="11" xfId="2" applyNumberFormat="1" applyFont="1" applyBorder="1" applyAlignment="1" applyProtection="1">
      <alignment horizontal="center" vertical="center"/>
      <protection hidden="1"/>
    </xf>
    <xf numFmtId="4" fontId="10" fillId="0" borderId="13" xfId="2" applyNumberFormat="1" applyFont="1" applyBorder="1" applyAlignment="1" applyProtection="1">
      <alignment horizontal="right" vertical="center" wrapText="1"/>
      <protection hidden="1"/>
    </xf>
    <xf numFmtId="0" fontId="12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>
      <alignment vertical="center"/>
    </xf>
    <xf numFmtId="2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14" xfId="0" applyFont="1" applyBorder="1" applyAlignment="1">
      <alignment horizontal="left" vertical="center"/>
    </xf>
    <xf numFmtId="9" fontId="4" fillId="0" borderId="8" xfId="1" applyFont="1" applyBorder="1" applyAlignment="1">
      <alignment vertical="center"/>
    </xf>
    <xf numFmtId="0" fontId="15" fillId="0" borderId="0" xfId="0" applyFont="1" applyAlignment="1" applyProtection="1">
      <alignment horizontal="center" vertical="center" wrapText="1"/>
      <protection hidden="1"/>
    </xf>
    <xf numFmtId="4" fontId="10" fillId="0" borderId="15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vertical="center"/>
    </xf>
    <xf numFmtId="2" fontId="12" fillId="0" borderId="1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8" xfId="3" applyFont="1" applyBorder="1" applyAlignment="1">
      <alignment horizontal="left" vertical="center" wrapText="1"/>
    </xf>
    <xf numFmtId="0" fontId="10" fillId="0" borderId="18" xfId="2" applyFont="1" applyBorder="1" applyAlignment="1">
      <alignment horizontal="center" vertical="center"/>
    </xf>
    <xf numFmtId="4" fontId="10" fillId="0" borderId="17" xfId="2" applyNumberFormat="1" applyFont="1" applyBorder="1" applyAlignment="1" applyProtection="1">
      <alignment horizontal="center" vertical="center" wrapText="1"/>
      <protection hidden="1"/>
    </xf>
    <xf numFmtId="4" fontId="10" fillId="0" borderId="18" xfId="2" applyNumberFormat="1" applyFont="1" applyBorder="1" applyAlignment="1" applyProtection="1">
      <alignment horizontal="center" vertical="center"/>
      <protection hidden="1"/>
    </xf>
    <xf numFmtId="4" fontId="10" fillId="0" borderId="19" xfId="2" applyNumberFormat="1" applyFont="1" applyBorder="1" applyAlignment="1" applyProtection="1">
      <alignment horizontal="right" vertical="center" wrapText="1"/>
      <protection hidden="1"/>
    </xf>
    <xf numFmtId="0" fontId="19" fillId="0" borderId="0" xfId="0" applyFont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4" borderId="8" xfId="0" applyFont="1" applyFill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0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4" fontId="16" fillId="0" borderId="8" xfId="0" applyNumberFormat="1" applyFont="1" applyBorder="1" applyAlignment="1">
      <alignment horizontal="center" vertical="center"/>
    </xf>
    <xf numFmtId="14" fontId="16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9" fontId="4" fillId="0" borderId="8" xfId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165" fontId="16" fillId="0" borderId="7" xfId="0" applyNumberFormat="1" applyFont="1" applyBorder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0" fontId="4" fillId="0" borderId="8" xfId="0" applyFont="1" applyBorder="1"/>
    <xf numFmtId="2" fontId="4" fillId="0" borderId="8" xfId="0" applyNumberFormat="1" applyFont="1" applyBorder="1"/>
    <xf numFmtId="0" fontId="4" fillId="0" borderId="8" xfId="0" applyFont="1" applyBorder="1" applyAlignment="1">
      <alignment horizontal="left"/>
    </xf>
    <xf numFmtId="2" fontId="0" fillId="0" borderId="0" xfId="0" applyNumberFormat="1" applyAlignment="1">
      <alignment vertical="center"/>
    </xf>
    <xf numFmtId="2" fontId="0" fillId="0" borderId="0" xfId="0" applyNumberFormat="1"/>
    <xf numFmtId="2" fontId="12" fillId="0" borderId="14" xfId="0" applyNumberFormat="1" applyFont="1" applyBorder="1"/>
    <xf numFmtId="0" fontId="4" fillId="0" borderId="14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24" fillId="0" borderId="0" xfId="0" applyFont="1"/>
    <xf numFmtId="0" fontId="10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5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25" fillId="0" borderId="14" xfId="0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16" fillId="0" borderId="8" xfId="0" applyFont="1" applyBorder="1" applyAlignment="1">
      <alignment vertical="center" wrapText="1"/>
    </xf>
    <xf numFmtId="2" fontId="16" fillId="0" borderId="8" xfId="0" applyNumberFormat="1" applyFont="1" applyBorder="1" applyAlignment="1">
      <alignment vertical="center"/>
    </xf>
    <xf numFmtId="0" fontId="16" fillId="0" borderId="21" xfId="0" applyFont="1" applyBorder="1" applyAlignment="1">
      <alignment vertical="center" wrapText="1"/>
    </xf>
    <xf numFmtId="0" fontId="16" fillId="0" borderId="8" xfId="0" applyFont="1" applyBorder="1" applyAlignment="1">
      <alignment horizontal="right"/>
    </xf>
    <xf numFmtId="2" fontId="16" fillId="0" borderId="8" xfId="0" applyNumberFormat="1" applyFont="1" applyBorder="1"/>
    <xf numFmtId="2" fontId="13" fillId="0" borderId="8" xfId="0" applyNumberFormat="1" applyFont="1" applyBorder="1" applyAlignment="1">
      <alignment vertical="center"/>
    </xf>
    <xf numFmtId="167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 applyProtection="1">
      <alignment vertical="center" wrapText="1"/>
      <protection hidden="1"/>
    </xf>
    <xf numFmtId="2" fontId="4" fillId="0" borderId="14" xfId="0" applyNumberFormat="1" applyFont="1" applyBorder="1" applyAlignment="1">
      <alignment horizontal="center" vertic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center"/>
    </xf>
    <xf numFmtId="0" fontId="30" fillId="0" borderId="1" xfId="2" applyFont="1" applyBorder="1" applyAlignment="1" applyProtection="1">
      <alignment horizontal="center" vertical="center" wrapText="1"/>
      <protection hidden="1"/>
    </xf>
    <xf numFmtId="0" fontId="30" fillId="0" borderId="2" xfId="2" applyFont="1" applyBorder="1" applyAlignment="1" applyProtection="1">
      <alignment horizontal="center" vertical="center" wrapText="1"/>
      <protection hidden="1"/>
    </xf>
    <xf numFmtId="4" fontId="30" fillId="0" borderId="3" xfId="2" applyNumberFormat="1" applyFont="1" applyBorder="1" applyAlignment="1" applyProtection="1">
      <alignment horizontal="center" vertical="center" wrapText="1"/>
      <protection hidden="1"/>
    </xf>
    <xf numFmtId="0" fontId="31" fillId="0" borderId="4" xfId="2" applyFont="1" applyBorder="1" applyAlignment="1" applyProtection="1">
      <alignment horizontal="center" vertical="center" wrapText="1"/>
      <protection hidden="1"/>
    </xf>
    <xf numFmtId="0" fontId="31" fillId="0" borderId="5" xfId="2" applyFont="1" applyBorder="1" applyAlignment="1" applyProtection="1">
      <alignment horizontal="center" vertical="center" wrapText="1"/>
      <protection hidden="1"/>
    </xf>
    <xf numFmtId="4" fontId="31" fillId="0" borderId="5" xfId="2" applyNumberFormat="1" applyFont="1" applyBorder="1" applyAlignment="1" applyProtection="1">
      <alignment horizontal="center" vertical="center" wrapText="1"/>
      <protection hidden="1"/>
    </xf>
    <xf numFmtId="3" fontId="31" fillId="0" borderId="6" xfId="2" applyNumberFormat="1" applyFont="1" applyBorder="1" applyAlignment="1" applyProtection="1">
      <alignment horizontal="center" vertical="center" wrapText="1"/>
      <protection hidden="1"/>
    </xf>
    <xf numFmtId="0" fontId="31" fillId="0" borderId="9" xfId="2" applyFont="1" applyBorder="1" applyAlignment="1" applyProtection="1">
      <alignment horizontal="center" vertical="center"/>
      <protection hidden="1"/>
    </xf>
    <xf numFmtId="0" fontId="31" fillId="0" borderId="11" xfId="2" applyFont="1" applyBorder="1" applyAlignment="1" applyProtection="1">
      <alignment horizontal="center" vertical="center"/>
      <protection hidden="1"/>
    </xf>
    <xf numFmtId="0" fontId="31" fillId="0" borderId="11" xfId="2" applyFont="1" applyBorder="1" applyAlignment="1" applyProtection="1">
      <alignment horizontal="left" vertical="center" wrapText="1"/>
      <protection hidden="1"/>
    </xf>
    <xf numFmtId="0" fontId="31" fillId="0" borderId="11" xfId="2" applyFont="1" applyBorder="1" applyAlignment="1">
      <alignment horizontal="center" vertical="center"/>
    </xf>
    <xf numFmtId="4" fontId="31" fillId="0" borderId="11" xfId="2" applyNumberFormat="1" applyFont="1" applyBorder="1" applyAlignment="1" applyProtection="1">
      <alignment horizontal="center" vertical="center" wrapText="1"/>
      <protection hidden="1"/>
    </xf>
    <xf numFmtId="4" fontId="4" fillId="0" borderId="11" xfId="2" applyNumberFormat="1" applyFont="1" applyBorder="1" applyAlignment="1" applyProtection="1">
      <alignment horizontal="center" vertical="center"/>
      <protection hidden="1"/>
    </xf>
    <xf numFmtId="4" fontId="4" fillId="0" borderId="13" xfId="2" applyNumberFormat="1" applyFont="1" applyBorder="1" applyAlignment="1" applyProtection="1">
      <alignment horizontal="right" vertical="center" wrapText="1"/>
      <protection hidden="1"/>
    </xf>
    <xf numFmtId="0" fontId="31" fillId="0" borderId="0" xfId="2" applyFont="1" applyAlignment="1" applyProtection="1">
      <alignment horizontal="center" vertical="center"/>
      <protection hidden="1"/>
    </xf>
    <xf numFmtId="0" fontId="31" fillId="0" borderId="0" xfId="2" applyFont="1" applyAlignment="1" applyProtection="1">
      <alignment horizontal="left" vertical="center" wrapText="1"/>
      <protection hidden="1"/>
    </xf>
    <xf numFmtId="0" fontId="31" fillId="0" borderId="0" xfId="2" applyFont="1" applyAlignment="1">
      <alignment horizontal="center" vertical="center"/>
    </xf>
    <xf numFmtId="4" fontId="31" fillId="0" borderId="0" xfId="2" applyNumberFormat="1" applyFont="1" applyAlignment="1" applyProtection="1">
      <alignment horizontal="center" vertical="center" wrapText="1"/>
      <protection hidden="1"/>
    </xf>
    <xf numFmtId="4" fontId="4" fillId="0" borderId="0" xfId="2" applyNumberFormat="1" applyFont="1" applyAlignment="1" applyProtection="1">
      <alignment horizontal="center" vertical="center"/>
      <protection hidden="1"/>
    </xf>
    <xf numFmtId="4" fontId="4" fillId="0" borderId="0" xfId="2" applyNumberFormat="1" applyFont="1" applyAlignment="1" applyProtection="1">
      <alignment horizontal="right" vertical="center" wrapText="1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4" fillId="0" borderId="8" xfId="0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/>
    </xf>
    <xf numFmtId="165" fontId="34" fillId="4" borderId="8" xfId="0" applyNumberFormat="1" applyFont="1" applyFill="1" applyBorder="1" applyAlignment="1">
      <alignment horizontal="center" vertical="center"/>
    </xf>
    <xf numFmtId="165" fontId="34" fillId="0" borderId="14" xfId="0" applyNumberFormat="1" applyFont="1" applyBorder="1" applyAlignment="1">
      <alignment horizontal="center" vertical="center"/>
    </xf>
    <xf numFmtId="0" fontId="31" fillId="0" borderId="28" xfId="2" applyFont="1" applyBorder="1" applyAlignment="1" applyProtection="1">
      <alignment horizontal="center" vertical="center"/>
      <protection hidden="1"/>
    </xf>
    <xf numFmtId="0" fontId="31" fillId="0" borderId="29" xfId="2" applyFont="1" applyBorder="1" applyAlignment="1" applyProtection="1">
      <alignment horizontal="center" vertical="center"/>
      <protection hidden="1"/>
    </xf>
    <xf numFmtId="0" fontId="31" fillId="0" borderId="29" xfId="2" applyFont="1" applyBorder="1" applyAlignment="1" applyProtection="1">
      <alignment horizontal="left" vertical="center" wrapText="1"/>
      <protection hidden="1"/>
    </xf>
    <xf numFmtId="0" fontId="31" fillId="0" borderId="29" xfId="2" applyFont="1" applyBorder="1" applyAlignment="1">
      <alignment horizontal="center" vertical="center"/>
    </xf>
    <xf numFmtId="4" fontId="31" fillId="0" borderId="29" xfId="2" applyNumberFormat="1" applyFont="1" applyBorder="1" applyAlignment="1" applyProtection="1">
      <alignment horizontal="center" vertical="center" wrapText="1"/>
      <protection hidden="1"/>
    </xf>
    <xf numFmtId="4" fontId="4" fillId="0" borderId="29" xfId="2" applyNumberFormat="1" applyFont="1" applyBorder="1" applyAlignment="1" applyProtection="1">
      <alignment horizontal="center" vertical="center"/>
      <protection hidden="1"/>
    </xf>
    <xf numFmtId="4" fontId="4" fillId="0" borderId="30" xfId="2" applyNumberFormat="1" applyFont="1" applyBorder="1" applyAlignment="1" applyProtection="1">
      <alignment horizontal="right" vertical="center" wrapText="1"/>
      <protection hidden="1"/>
    </xf>
    <xf numFmtId="0" fontId="4" fillId="0" borderId="27" xfId="0" applyFont="1" applyBorder="1" applyAlignment="1">
      <alignment horizontal="right"/>
    </xf>
    <xf numFmtId="2" fontId="12" fillId="0" borderId="8" xfId="0" applyNumberFormat="1" applyFont="1" applyBorder="1" applyAlignment="1">
      <alignment horizontal="center"/>
    </xf>
    <xf numFmtId="0" fontId="13" fillId="0" borderId="8" xfId="0" applyFont="1" applyBorder="1" applyAlignment="1">
      <alignment horizontal="right" vertical="center" wrapText="1"/>
    </xf>
    <xf numFmtId="2" fontId="4" fillId="0" borderId="8" xfId="0" applyNumberFormat="1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left" vertical="center" wrapText="1"/>
      <protection hidden="1"/>
    </xf>
    <xf numFmtId="2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2" fontId="4" fillId="0" borderId="8" xfId="0" applyNumberFormat="1" applyFont="1" applyBorder="1" applyAlignment="1" applyProtection="1">
      <alignment horizontal="right" vertical="center" wrapText="1"/>
      <protection hidden="1"/>
    </xf>
    <xf numFmtId="0" fontId="31" fillId="0" borderId="31" xfId="2" applyFont="1" applyBorder="1" applyAlignment="1" applyProtection="1">
      <alignment horizontal="center" vertical="center" wrapText="1"/>
      <protection hidden="1"/>
    </xf>
    <xf numFmtId="0" fontId="31" fillId="0" borderId="31" xfId="2" applyFont="1" applyBorder="1" applyAlignment="1" applyProtection="1">
      <alignment horizontal="left" vertical="center" wrapText="1"/>
      <protection hidden="1"/>
    </xf>
    <xf numFmtId="4" fontId="31" fillId="0" borderId="31" xfId="2" applyNumberFormat="1" applyFont="1" applyBorder="1" applyAlignment="1" applyProtection="1">
      <alignment horizontal="center" vertical="center" wrapText="1"/>
      <protection hidden="1"/>
    </xf>
    <xf numFmtId="2" fontId="31" fillId="0" borderId="31" xfId="2" applyNumberFormat="1" applyFont="1" applyBorder="1" applyAlignment="1" applyProtection="1">
      <alignment horizontal="center" vertical="center" wrapText="1"/>
      <protection hidden="1"/>
    </xf>
    <xf numFmtId="4" fontId="31" fillId="0" borderId="31" xfId="2" applyNumberFormat="1" applyFont="1" applyBorder="1" applyAlignment="1" applyProtection="1">
      <alignment horizontal="right" vertical="center" wrapText="1"/>
      <protection hidden="1"/>
    </xf>
    <xf numFmtId="0" fontId="28" fillId="0" borderId="0" xfId="4" applyFont="1" applyAlignment="1" applyProtection="1">
      <alignment horizontal="center"/>
      <protection hidden="1"/>
    </xf>
    <xf numFmtId="2" fontId="4" fillId="2" borderId="8" xfId="0" applyNumberFormat="1" applyFont="1" applyFill="1" applyBorder="1"/>
    <xf numFmtId="0" fontId="16" fillId="0" borderId="8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12" fillId="0" borderId="0" xfId="0" applyNumberFormat="1" applyFont="1"/>
    <xf numFmtId="9" fontId="4" fillId="0" borderId="0" xfId="1" applyFont="1"/>
    <xf numFmtId="0" fontId="4" fillId="3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4" borderId="8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2" fontId="4" fillId="0" borderId="8" xfId="0" applyNumberFormat="1" applyFont="1" applyBorder="1" applyAlignment="1">
      <alignment horizontal="right" vertical="center"/>
    </xf>
    <xf numFmtId="0" fontId="12" fillId="0" borderId="20" xfId="0" applyFont="1" applyBorder="1"/>
    <xf numFmtId="0" fontId="35" fillId="0" borderId="20" xfId="0" applyFont="1" applyBorder="1" applyAlignment="1">
      <alignment horizontal="left"/>
    </xf>
    <xf numFmtId="0" fontId="4" fillId="3" borderId="21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0" fillId="0" borderId="23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0" fontId="23" fillId="0" borderId="0" xfId="0" applyFont="1"/>
    <xf numFmtId="2" fontId="12" fillId="0" borderId="14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right"/>
    </xf>
    <xf numFmtId="9" fontId="4" fillId="0" borderId="8" xfId="1" applyFont="1" applyBorder="1" applyAlignment="1" applyProtection="1">
      <alignment horizontal="center" vertical="center" wrapText="1"/>
      <protection hidden="1"/>
    </xf>
    <xf numFmtId="2" fontId="4" fillId="2" borderId="8" xfId="1" applyNumberFormat="1" applyFont="1" applyFill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right"/>
    </xf>
    <xf numFmtId="166" fontId="4" fillId="0" borderId="0" xfId="1" applyNumberFormat="1" applyFont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2" fontId="16" fillId="0" borderId="21" xfId="0" applyNumberFormat="1" applyFont="1" applyBorder="1" applyAlignment="1">
      <alignment vertical="center"/>
    </xf>
    <xf numFmtId="2" fontId="13" fillId="0" borderId="8" xfId="0" applyNumberFormat="1" applyFont="1" applyBorder="1" applyAlignment="1">
      <alignment horizontal="right" vertical="center"/>
    </xf>
    <xf numFmtId="0" fontId="38" fillId="0" borderId="0" xfId="4" applyFont="1" applyAlignment="1" applyProtection="1">
      <alignment horizontal="center"/>
      <protection hidden="1"/>
    </xf>
    <xf numFmtId="0" fontId="12" fillId="0" borderId="0" xfId="4" applyFont="1" applyAlignment="1" applyProtection="1">
      <alignment horizontal="center"/>
      <protection hidden="1"/>
    </xf>
    <xf numFmtId="2" fontId="13" fillId="0" borderId="34" xfId="0" applyNumberFormat="1" applyFont="1" applyBorder="1" applyAlignment="1">
      <alignment vertical="center"/>
    </xf>
    <xf numFmtId="0" fontId="13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/>
    <xf numFmtId="0" fontId="38" fillId="0" borderId="0" xfId="4" applyFont="1" applyAlignment="1" applyProtection="1">
      <alignment horizontal="center"/>
      <protection hidden="1"/>
    </xf>
    <xf numFmtId="0" fontId="13" fillId="0" borderId="0" xfId="0" applyFont="1" applyAlignment="1">
      <alignment horizontal="center" vertical="center" wrapText="1"/>
    </xf>
    <xf numFmtId="0" fontId="36" fillId="0" borderId="0" xfId="0" applyFont="1" applyAlignment="1" applyProtection="1">
      <alignment horizontal="center" vertical="center" wrapText="1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37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>
      <alignment horizontal="left"/>
    </xf>
    <xf numFmtId="0" fontId="28" fillId="0" borderId="0" xfId="4" applyFont="1" applyAlignment="1" applyProtection="1">
      <alignment horizontal="center"/>
      <protection hidden="1"/>
    </xf>
    <xf numFmtId="0" fontId="35" fillId="0" borderId="0" xfId="0" applyFont="1" applyAlignment="1">
      <alignment horizontal="left"/>
    </xf>
    <xf numFmtId="0" fontId="4" fillId="7" borderId="2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6" borderId="22" xfId="0" applyFont="1" applyFill="1" applyBorder="1" applyAlignment="1">
      <alignment horizontal="center" vertical="center"/>
    </xf>
  </cellXfs>
  <cellStyles count="5">
    <cellStyle name="Normaali_Taul1" xfId="3" xr:uid="{0DC1EFB0-F1F4-4A10-8C5F-6D5FD53006E2}"/>
    <cellStyle name="Normaallaad" xfId="0" builtinId="0"/>
    <cellStyle name="Normal 2 10" xfId="2" xr:uid="{F1A64FC0-929F-4B92-96C5-43B7EFB983BB}"/>
    <cellStyle name="Normal_Sheet1" xfId="4" xr:uid="{EFC78BD9-95CB-4512-AE6E-CE8A31F0783C}"/>
    <cellStyle name="Prots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E637-F8B4-4E61-AFD2-3AB6E0A04290}">
  <dimension ref="A1:G29"/>
  <sheetViews>
    <sheetView topLeftCell="A7" workbookViewId="0">
      <selection activeCell="K25" sqref="K25"/>
    </sheetView>
  </sheetViews>
  <sheetFormatPr defaultRowHeight="14.5" x14ac:dyDescent="0.35"/>
  <cols>
    <col min="1" max="1" width="38.54296875" bestFit="1" customWidth="1"/>
    <col min="2" max="2" width="36.36328125" customWidth="1"/>
    <col min="3" max="5" width="8.90625" customWidth="1"/>
  </cols>
  <sheetData>
    <row r="1" spans="1:7" ht="45" customHeight="1" x14ac:dyDescent="0.35">
      <c r="A1" s="204" t="s">
        <v>112</v>
      </c>
      <c r="B1" s="204"/>
      <c r="C1" s="204"/>
      <c r="D1" s="204"/>
    </row>
    <row r="2" spans="1:7" ht="20" x14ac:dyDescent="0.4">
      <c r="A2" s="88" t="s">
        <v>113</v>
      </c>
      <c r="B2" s="89" t="s">
        <v>114</v>
      </c>
      <c r="C2" s="90"/>
    </row>
    <row r="3" spans="1:7" ht="15.5" x14ac:dyDescent="0.35">
      <c r="A3" s="88" t="s">
        <v>115</v>
      </c>
      <c r="B3" s="88">
        <v>304446</v>
      </c>
    </row>
    <row r="4" spans="1:7" x14ac:dyDescent="0.35">
      <c r="A4" s="205" t="s">
        <v>0</v>
      </c>
      <c r="B4" s="205"/>
      <c r="C4" s="205"/>
      <c r="D4" s="205"/>
      <c r="E4" s="205"/>
      <c r="F4" s="205"/>
      <c r="G4" s="205"/>
    </row>
    <row r="5" spans="1:7" x14ac:dyDescent="0.35">
      <c r="A5" s="206" t="s">
        <v>41</v>
      </c>
      <c r="B5" s="206"/>
      <c r="C5" s="206"/>
      <c r="D5" s="206"/>
      <c r="E5" s="206"/>
      <c r="F5" s="206"/>
      <c r="G5" s="206"/>
    </row>
    <row r="6" spans="1:7" x14ac:dyDescent="0.35">
      <c r="A6" s="207" t="s">
        <v>50</v>
      </c>
      <c r="B6" s="207"/>
      <c r="C6" s="207"/>
      <c r="D6" s="207"/>
      <c r="E6" s="207"/>
      <c r="F6" s="207"/>
      <c r="G6" s="207"/>
    </row>
    <row r="7" spans="1:7" x14ac:dyDescent="0.35">
      <c r="A7" s="203" t="s">
        <v>126</v>
      </c>
      <c r="B7" s="203"/>
      <c r="C7" s="203"/>
      <c r="D7" s="203"/>
      <c r="E7" s="203"/>
      <c r="F7" s="203"/>
      <c r="G7" s="203"/>
    </row>
    <row r="8" spans="1:7" x14ac:dyDescent="0.35">
      <c r="A8" s="196" t="s">
        <v>211</v>
      </c>
      <c r="B8" s="195"/>
      <c r="C8" s="195"/>
      <c r="D8" s="195"/>
      <c r="E8" s="195"/>
      <c r="F8" s="195"/>
      <c r="G8" s="195"/>
    </row>
    <row r="9" spans="1:7" ht="15.5" x14ac:dyDescent="0.35">
      <c r="A9" s="91" t="s">
        <v>198</v>
      </c>
      <c r="B9" s="92">
        <f>+Remix!D119</f>
        <v>4995.6063739200035</v>
      </c>
    </row>
    <row r="10" spans="1:7" ht="31" x14ac:dyDescent="0.35">
      <c r="A10" s="91" t="s">
        <v>199</v>
      </c>
      <c r="B10" s="92">
        <f>+Remix!L18+Remix!L41+Remix!L65</f>
        <v>4299.2456405153298</v>
      </c>
    </row>
    <row r="11" spans="1:7" ht="31" x14ac:dyDescent="0.35">
      <c r="A11" s="93" t="s">
        <v>116</v>
      </c>
      <c r="B11" s="193">
        <f>+Remix!D102</f>
        <v>32704.706999999966</v>
      </c>
    </row>
    <row r="12" spans="1:7" ht="15.5" x14ac:dyDescent="0.35">
      <c r="A12" s="94" t="s">
        <v>210</v>
      </c>
      <c r="B12" s="95">
        <f>+Remix!G7+Remix!G30+Remix!G53</f>
        <v>950709.42</v>
      </c>
    </row>
    <row r="13" spans="1:7" ht="30" x14ac:dyDescent="0.35">
      <c r="A13" s="139" t="s">
        <v>243</v>
      </c>
      <c r="B13" s="96">
        <f>(B9+B10+B11)/B12*100</f>
        <v>4.4177072542770528</v>
      </c>
    </row>
    <row r="14" spans="1:7" ht="15" x14ac:dyDescent="0.35">
      <c r="A14" s="198" t="s">
        <v>144</v>
      </c>
      <c r="B14" s="197"/>
    </row>
    <row r="15" spans="1:7" ht="33" customHeight="1" x14ac:dyDescent="0.35">
      <c r="A15" s="91" t="s">
        <v>200</v>
      </c>
      <c r="B15" s="92">
        <f>Asfalteerimine!D120</f>
        <v>3483.4192971599987</v>
      </c>
      <c r="C15" s="73"/>
      <c r="D15" s="73"/>
    </row>
    <row r="16" spans="1:7" ht="33" customHeight="1" x14ac:dyDescent="0.35">
      <c r="A16" s="91" t="s">
        <v>201</v>
      </c>
      <c r="B16" s="92">
        <f>Asfalteerimine!K21+Asfalteerimine!K31+Asfalteerimine!K41+Asfalteerimine!K51+Asfalteerimine!K61+Asfalteerimine!K71+Asfalteerimine!K81+Asfalteerimine!K91+Asfalteerimine!K101</f>
        <v>2161.7821685364606</v>
      </c>
      <c r="D16" s="73"/>
    </row>
    <row r="17" spans="1:4" s="25" customFormat="1" ht="33" customHeight="1" x14ac:dyDescent="0.35">
      <c r="A17" s="160" t="s">
        <v>212</v>
      </c>
      <c r="B17" s="92">
        <f>+Asfalteerimine!E23+Asfalteerimine!E33+Asfalteerimine!E43+Asfalteerimine!E53+Asfalteerimine!E63+Asfalteerimine!E73+Asfalteerimine!E83+Asfalteerimine!E93+Asfalteerimine!E103</f>
        <v>398923.77</v>
      </c>
      <c r="D17" s="72"/>
    </row>
    <row r="18" spans="1:4" ht="33" customHeight="1" x14ac:dyDescent="0.35">
      <c r="A18" s="139" t="s">
        <v>243</v>
      </c>
      <c r="B18" s="96">
        <f>(B15+B16)/B17*100</f>
        <v>1.4151078201473075</v>
      </c>
      <c r="D18" s="73"/>
    </row>
    <row r="19" spans="1:4" ht="15" x14ac:dyDescent="0.35">
      <c r="A19" s="198" t="s">
        <v>175</v>
      </c>
      <c r="B19" s="197"/>
    </row>
    <row r="20" spans="1:4" ht="33" customHeight="1" x14ac:dyDescent="0.35">
      <c r="A20" s="91" t="s">
        <v>202</v>
      </c>
      <c r="B20" s="92">
        <f>+Freesimine!D97</f>
        <v>3391.5616858282337</v>
      </c>
    </row>
    <row r="21" spans="1:4" ht="33" customHeight="1" x14ac:dyDescent="0.35">
      <c r="A21" s="91" t="s">
        <v>203</v>
      </c>
      <c r="B21" s="92">
        <f>+Freesimine!K21+Freesimine!K29+Freesimine!K37+Freesimine!K45+Freesimine!K53+Freesimine!K61+Freesimine!K69+Freesimine!K77+Freesimine!K85</f>
        <v>1262.2698791367216</v>
      </c>
    </row>
    <row r="22" spans="1:4" ht="33" customHeight="1" x14ac:dyDescent="0.35">
      <c r="A22" s="160" t="s">
        <v>212</v>
      </c>
      <c r="B22" s="92">
        <f>+Freesimine!E22+Freesimine!E30+Freesimine!E38+Freesimine!E54+Freesimine!E62+Freesimine!E70+Freesimine!E78+Freesimine!E86</f>
        <v>51873.54</v>
      </c>
    </row>
    <row r="23" spans="1:4" ht="33" customHeight="1" x14ac:dyDescent="0.35">
      <c r="A23" s="139" t="s">
        <v>242</v>
      </c>
      <c r="B23" s="194">
        <f>(B20+B21)/B22*100</f>
        <v>8.9714940699342201</v>
      </c>
    </row>
    <row r="24" spans="1:4" ht="15" x14ac:dyDescent="0.35">
      <c r="A24" s="198" t="s">
        <v>118</v>
      </c>
      <c r="B24" s="197"/>
    </row>
    <row r="25" spans="1:4" ht="49.5" customHeight="1" x14ac:dyDescent="0.35">
      <c r="A25" s="91" t="s">
        <v>204</v>
      </c>
      <c r="B25" s="92">
        <f>+'Peenramaterjali vedu'!G43+'Peenramaterjali vedu'!G22</f>
        <v>3468.67</v>
      </c>
    </row>
    <row r="26" spans="1:4" ht="15.5" x14ac:dyDescent="0.35">
      <c r="A26" s="94" t="s">
        <v>213</v>
      </c>
      <c r="B26" s="95">
        <f>+'Peenramaterjali vedu'!G17+'Peenramaterjali vedu'!G38</f>
        <v>103872.91</v>
      </c>
    </row>
    <row r="27" spans="1:4" s="25" customFormat="1" ht="30" x14ac:dyDescent="0.35">
      <c r="A27" s="139" t="s">
        <v>242</v>
      </c>
      <c r="B27" s="194">
        <f>(B25)/B26*100</f>
        <v>3.3393403535146944</v>
      </c>
    </row>
    <row r="28" spans="1:4" ht="15" x14ac:dyDescent="0.35">
      <c r="A28" s="139" t="s">
        <v>209</v>
      </c>
      <c r="B28" s="194">
        <f>+B25+B21+B20+B16+B15+B11+B10+B9</f>
        <v>55767.262045096715</v>
      </c>
    </row>
    <row r="29" spans="1:4" x14ac:dyDescent="0.35">
      <c r="B29" s="73"/>
    </row>
  </sheetData>
  <mergeCells count="5">
    <mergeCell ref="A7:G7"/>
    <mergeCell ref="A1:D1"/>
    <mergeCell ref="A4:G4"/>
    <mergeCell ref="A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D80D-01C1-4134-B1B2-8C9B7F14A699}">
  <sheetPr>
    <pageSetUpPr fitToPage="1"/>
  </sheetPr>
  <dimension ref="A1:L120"/>
  <sheetViews>
    <sheetView topLeftCell="A16" zoomScale="55" zoomScaleNormal="55" workbookViewId="0">
      <selection activeCell="G13" sqref="G13"/>
    </sheetView>
  </sheetViews>
  <sheetFormatPr defaultColWidth="8.90625" defaultRowHeight="14.5" x14ac:dyDescent="0.35"/>
  <cols>
    <col min="1" max="1" width="50.81640625" style="25" bestFit="1" customWidth="1"/>
    <col min="2" max="2" width="33.1796875" style="25" bestFit="1" customWidth="1"/>
    <col min="3" max="3" width="49" style="25" bestFit="1" customWidth="1"/>
    <col min="4" max="4" width="77.08984375" style="25" bestFit="1" customWidth="1"/>
    <col min="5" max="5" width="46.453125" style="25" bestFit="1" customWidth="1"/>
    <col min="6" max="6" width="45.81640625" style="25" bestFit="1" customWidth="1"/>
    <col min="7" max="7" width="27.6328125" style="25" bestFit="1" customWidth="1"/>
    <col min="8" max="8" width="17.08984375" style="25" bestFit="1" customWidth="1"/>
    <col min="9" max="9" width="46.54296875" style="25" bestFit="1" customWidth="1"/>
    <col min="10" max="10" width="19.90625" style="25" bestFit="1" customWidth="1"/>
    <col min="11" max="11" width="46.54296875" style="25" bestFit="1" customWidth="1"/>
    <col min="12" max="12" width="16.08984375" style="25" bestFit="1" customWidth="1"/>
    <col min="13" max="16384" width="8.90625" style="25"/>
  </cols>
  <sheetData>
    <row r="1" spans="1:12" x14ac:dyDescent="0.35">
      <c r="A1" s="62" t="s">
        <v>83</v>
      </c>
      <c r="B1" s="1" t="s">
        <v>84</v>
      </c>
    </row>
    <row r="2" spans="1:12" ht="17.5" customHeight="1" x14ac:dyDescent="0.35">
      <c r="A2" s="208" t="s">
        <v>0</v>
      </c>
      <c r="B2" s="208"/>
      <c r="C2" s="208"/>
      <c r="D2" s="208"/>
      <c r="E2" s="208"/>
      <c r="F2" s="208"/>
      <c r="G2" s="208"/>
      <c r="H2" s="99"/>
      <c r="I2" s="99"/>
      <c r="J2" s="99"/>
      <c r="K2" s="99"/>
      <c r="L2" s="99"/>
    </row>
    <row r="3" spans="1:12" ht="16" x14ac:dyDescent="0.35">
      <c r="A3" s="63" t="s">
        <v>90</v>
      </c>
      <c r="I3" s="1">
        <v>40500</v>
      </c>
      <c r="J3" s="1" t="s">
        <v>1</v>
      </c>
    </row>
    <row r="4" spans="1:12" ht="15" thickBot="1" x14ac:dyDescent="0.4">
      <c r="I4" s="1">
        <v>4</v>
      </c>
      <c r="J4" s="1" t="s">
        <v>2</v>
      </c>
    </row>
    <row r="5" spans="1:12" ht="15" x14ac:dyDescent="0.35">
      <c r="A5" s="2" t="s">
        <v>3</v>
      </c>
      <c r="B5" s="3"/>
      <c r="C5" s="3" t="s">
        <v>4</v>
      </c>
      <c r="D5" s="3" t="s">
        <v>5</v>
      </c>
      <c r="E5" s="4" t="s">
        <v>85</v>
      </c>
      <c r="F5" s="3" t="s">
        <v>6</v>
      </c>
      <c r="G5" s="5" t="s">
        <v>7</v>
      </c>
    </row>
    <row r="6" spans="1:12" ht="19.25" customHeight="1" thickBot="1" x14ac:dyDescent="0.4">
      <c r="A6" s="6">
        <v>1</v>
      </c>
      <c r="B6" s="7"/>
      <c r="C6" s="7">
        <v>2</v>
      </c>
      <c r="D6" s="7">
        <v>3</v>
      </c>
      <c r="E6" s="8">
        <v>4</v>
      </c>
      <c r="F6" s="7">
        <v>5</v>
      </c>
      <c r="G6" s="9">
        <v>6</v>
      </c>
    </row>
    <row r="7" spans="1:12" ht="16.5" thickTop="1" thickBot="1" x14ac:dyDescent="0.4">
      <c r="A7" s="10" t="s">
        <v>81</v>
      </c>
      <c r="B7" s="11" t="s">
        <v>9</v>
      </c>
      <c r="C7" s="12" t="s">
        <v>10</v>
      </c>
      <c r="D7" s="13" t="s">
        <v>8</v>
      </c>
      <c r="E7" s="14">
        <v>46429.8</v>
      </c>
      <c r="F7" s="15">
        <v>4.2</v>
      </c>
      <c r="G7" s="16">
        <f t="shared" ref="G7" si="0">ROUND(E7*F7,2)</f>
        <v>195005.16</v>
      </c>
    </row>
    <row r="9" spans="1:12" ht="16.5" x14ac:dyDescent="0.35">
      <c r="A9" s="17" t="s">
        <v>11</v>
      </c>
      <c r="B9" s="18" t="s">
        <v>12</v>
      </c>
      <c r="C9" s="19" t="s">
        <v>13</v>
      </c>
      <c r="D9" s="19" t="s">
        <v>14</v>
      </c>
      <c r="E9" s="19" t="s">
        <v>40</v>
      </c>
      <c r="F9" s="19" t="s">
        <v>15</v>
      </c>
    </row>
    <row r="10" spans="1:12" ht="30" x14ac:dyDescent="0.35">
      <c r="A10" s="20" t="s">
        <v>16</v>
      </c>
      <c r="B10" s="21">
        <f>$I$3*650*0.00085</f>
        <v>22376.25</v>
      </c>
      <c r="C10" s="24" t="s">
        <v>245</v>
      </c>
      <c r="D10" s="21">
        <f t="shared" ref="D10:D22" si="1">+B10/$I$3</f>
        <v>0.55249999999999999</v>
      </c>
      <c r="E10" s="27">
        <f>B10/$B$23</f>
        <v>0.13154761904761905</v>
      </c>
      <c r="F10" s="21">
        <f>+D10*$E$7</f>
        <v>25652.464500000002</v>
      </c>
    </row>
    <row r="11" spans="1:12" customFormat="1" ht="16.5" x14ac:dyDescent="0.35">
      <c r="A11" s="69" t="s">
        <v>18</v>
      </c>
      <c r="B11" s="70">
        <f>$I$3*0.015*77.2</f>
        <v>46899</v>
      </c>
      <c r="C11" s="71" t="s">
        <v>87</v>
      </c>
      <c r="D11" s="70">
        <f t="shared" si="1"/>
        <v>1.1579999999999999</v>
      </c>
      <c r="E11" s="27">
        <f t="shared" ref="E11:E22" si="2">B11/$B$23</f>
        <v>0.27571428571428569</v>
      </c>
      <c r="F11" s="21">
        <f t="shared" ref="F11:F22" si="3">+D11*$E$7</f>
        <v>53765.708400000003</v>
      </c>
    </row>
    <row r="12" spans="1:12" x14ac:dyDescent="0.35">
      <c r="A12" s="23" t="s">
        <v>19</v>
      </c>
      <c r="B12" s="21">
        <f>140*2*3.5</f>
        <v>980</v>
      </c>
      <c r="C12" s="22" t="s">
        <v>20</v>
      </c>
      <c r="D12" s="21">
        <f t="shared" si="1"/>
        <v>2.4197530864197531E-2</v>
      </c>
      <c r="E12" s="27">
        <f t="shared" si="2"/>
        <v>5.7613168724279839E-3</v>
      </c>
      <c r="F12" s="21">
        <f t="shared" si="3"/>
        <v>1123.4865185185186</v>
      </c>
    </row>
    <row r="13" spans="1:12" ht="28" x14ac:dyDescent="0.35">
      <c r="A13" s="23" t="s">
        <v>21</v>
      </c>
      <c r="B13" s="21">
        <f>200*2*1.7</f>
        <v>680</v>
      </c>
      <c r="C13" s="22" t="s">
        <v>22</v>
      </c>
      <c r="D13" s="21">
        <f t="shared" si="1"/>
        <v>1.6790123456790124E-2</v>
      </c>
      <c r="E13" s="27">
        <f t="shared" si="2"/>
        <v>3.997648442092887E-3</v>
      </c>
      <c r="F13" s="21">
        <f t="shared" si="3"/>
        <v>779.56207407407408</v>
      </c>
    </row>
    <row r="14" spans="1:12" ht="16" x14ac:dyDescent="0.35">
      <c r="A14" s="20" t="s">
        <v>23</v>
      </c>
      <c r="B14" s="21">
        <f>40500*2.02</f>
        <v>81810</v>
      </c>
      <c r="C14" s="22" t="s">
        <v>24</v>
      </c>
      <c r="D14" s="21">
        <f t="shared" si="1"/>
        <v>2.02</v>
      </c>
      <c r="E14" s="27">
        <f t="shared" si="2"/>
        <v>0.48095238095238096</v>
      </c>
      <c r="F14" s="21">
        <f t="shared" si="3"/>
        <v>93788.196000000011</v>
      </c>
    </row>
    <row r="15" spans="1:12" x14ac:dyDescent="0.35">
      <c r="A15" s="20" t="s">
        <v>25</v>
      </c>
      <c r="B15" s="21">
        <f>10*50*$I$4</f>
        <v>2000</v>
      </c>
      <c r="C15" s="22" t="s">
        <v>26</v>
      </c>
      <c r="D15" s="21">
        <f t="shared" si="1"/>
        <v>4.9382716049382713E-2</v>
      </c>
      <c r="E15" s="27">
        <f t="shared" si="2"/>
        <v>1.1757789535567314E-2</v>
      </c>
      <c r="F15" s="21">
        <f t="shared" si="3"/>
        <v>2292.8296296296298</v>
      </c>
    </row>
    <row r="16" spans="1:12" x14ac:dyDescent="0.35">
      <c r="A16" s="20" t="s">
        <v>27</v>
      </c>
      <c r="B16" s="21">
        <f>20*14*$I$4</f>
        <v>1120</v>
      </c>
      <c r="C16" s="22" t="s">
        <v>28</v>
      </c>
      <c r="D16" s="21">
        <f t="shared" si="1"/>
        <v>2.7654320987654323E-2</v>
      </c>
      <c r="E16" s="27">
        <f t="shared" si="2"/>
        <v>6.5843621399176953E-3</v>
      </c>
      <c r="F16" s="21">
        <f t="shared" si="3"/>
        <v>1283.9845925925927</v>
      </c>
    </row>
    <row r="17" spans="1:12" ht="16" x14ac:dyDescent="0.3">
      <c r="A17" s="20" t="s">
        <v>29</v>
      </c>
      <c r="B17" s="21">
        <f>50*$I$4</f>
        <v>200</v>
      </c>
      <c r="C17" s="22" t="s">
        <v>30</v>
      </c>
      <c r="D17" s="21">
        <f t="shared" si="1"/>
        <v>4.9382716049382715E-3</v>
      </c>
      <c r="E17" s="27">
        <f t="shared" si="2"/>
        <v>1.1757789535567313E-3</v>
      </c>
      <c r="F17" s="21">
        <f t="shared" si="3"/>
        <v>229.28296296296298</v>
      </c>
      <c r="H17" s="190" t="s">
        <v>1</v>
      </c>
      <c r="I17" s="167" t="s">
        <v>187</v>
      </c>
      <c r="J17" s="190" t="s">
        <v>1</v>
      </c>
      <c r="K17" s="167" t="s">
        <v>187</v>
      </c>
      <c r="L17" s="86" t="s">
        <v>188</v>
      </c>
    </row>
    <row r="18" spans="1:12" x14ac:dyDescent="0.3">
      <c r="A18" s="20" t="s">
        <v>31</v>
      </c>
      <c r="B18" s="21">
        <f>49*12*4*$I$4</f>
        <v>9408</v>
      </c>
      <c r="C18" s="22" t="s">
        <v>32</v>
      </c>
      <c r="D18" s="21">
        <f>+B18/$I$3</f>
        <v>0.23229629629629631</v>
      </c>
      <c r="E18" s="27">
        <f t="shared" si="2"/>
        <v>5.5308641975308645E-2</v>
      </c>
      <c r="F18" s="21">
        <f>+D18*$E$7</f>
        <v>10785.470577777778</v>
      </c>
      <c r="H18" s="98">
        <v>40500</v>
      </c>
      <c r="I18" s="159">
        <f>54*4*12*4</f>
        <v>10368</v>
      </c>
      <c r="J18" s="98">
        <v>46429.8</v>
      </c>
      <c r="K18" s="186">
        <f>+I18*J18/H18</f>
        <v>11886.0288</v>
      </c>
      <c r="L18" s="21">
        <f>+K18-F18</f>
        <v>1100.558222222222</v>
      </c>
    </row>
    <row r="19" spans="1:12" x14ac:dyDescent="0.35">
      <c r="A19" s="20" t="s">
        <v>33</v>
      </c>
      <c r="B19" s="21">
        <f>40*10*$I$4</f>
        <v>1600</v>
      </c>
      <c r="C19" s="22" t="s">
        <v>34</v>
      </c>
      <c r="D19" s="21">
        <f t="shared" si="1"/>
        <v>3.9506172839506172E-2</v>
      </c>
      <c r="E19" s="27">
        <f t="shared" si="2"/>
        <v>9.4062316284538507E-3</v>
      </c>
      <c r="F19" s="21">
        <f t="shared" si="3"/>
        <v>1834.2637037037039</v>
      </c>
    </row>
    <row r="20" spans="1:12" x14ac:dyDescent="0.35">
      <c r="A20" s="20" t="s">
        <v>35</v>
      </c>
      <c r="B20" s="21">
        <f>40*10*$I$4</f>
        <v>1600</v>
      </c>
      <c r="C20" s="22" t="s">
        <v>34</v>
      </c>
      <c r="D20" s="21">
        <f t="shared" si="1"/>
        <v>3.9506172839506172E-2</v>
      </c>
      <c r="E20" s="27">
        <f t="shared" si="2"/>
        <v>9.4062316284538507E-3</v>
      </c>
      <c r="F20" s="21">
        <f t="shared" si="3"/>
        <v>1834.2637037037039</v>
      </c>
    </row>
    <row r="21" spans="1:12" x14ac:dyDescent="0.35">
      <c r="A21" s="20" t="s">
        <v>36</v>
      </c>
      <c r="B21" s="21">
        <f>$I$4*14*8</f>
        <v>448</v>
      </c>
      <c r="C21" s="22" t="s">
        <v>37</v>
      </c>
      <c r="D21" s="21">
        <f t="shared" si="1"/>
        <v>1.1061728395061728E-2</v>
      </c>
      <c r="E21" s="27">
        <f t="shared" si="2"/>
        <v>2.6337448559670784E-3</v>
      </c>
      <c r="F21" s="21">
        <f t="shared" si="3"/>
        <v>513.59383703703702</v>
      </c>
    </row>
    <row r="22" spans="1:12" ht="26.4" customHeight="1" x14ac:dyDescent="0.35">
      <c r="A22" s="20" t="s">
        <v>38</v>
      </c>
      <c r="B22" s="21">
        <f>(170100/40500-SUM(B10:B21)/40500)*40500</f>
        <v>978.75000000000909</v>
      </c>
      <c r="C22" s="24" t="s">
        <v>82</v>
      </c>
      <c r="D22" s="21">
        <f t="shared" si="1"/>
        <v>2.4166666666666892E-2</v>
      </c>
      <c r="E22" s="27">
        <f t="shared" si="2"/>
        <v>5.7539682539683073E-3</v>
      </c>
      <c r="F22" s="21">
        <f t="shared" si="3"/>
        <v>1122.0535000000104</v>
      </c>
    </row>
    <row r="23" spans="1:12" customFormat="1" ht="16.5" x14ac:dyDescent="0.35">
      <c r="A23" s="76" t="s">
        <v>7</v>
      </c>
      <c r="B23" s="77">
        <f>+SUM(B10:B22)</f>
        <v>170100</v>
      </c>
      <c r="C23" s="75"/>
      <c r="D23" s="74">
        <f>+SUM(D10:D22)</f>
        <v>4.2</v>
      </c>
      <c r="E23" s="75" t="s">
        <v>39</v>
      </c>
      <c r="F23" s="34">
        <f>+SUM(F10:F22)</f>
        <v>195005.16</v>
      </c>
    </row>
    <row r="25" spans="1:12" ht="17.5" x14ac:dyDescent="0.35">
      <c r="A25" s="209" t="s">
        <v>41</v>
      </c>
      <c r="B25" s="209"/>
      <c r="C25" s="209"/>
      <c r="D25" s="209"/>
      <c r="E25" s="209"/>
      <c r="F25" s="209"/>
      <c r="G25" s="209"/>
    </row>
    <row r="26" spans="1:12" ht="17.5" x14ac:dyDescent="0.35">
      <c r="A26" s="28"/>
      <c r="B26" s="28"/>
      <c r="C26" s="28"/>
      <c r="D26" s="28"/>
      <c r="E26" s="28"/>
      <c r="F26" s="28"/>
      <c r="G26" s="28"/>
      <c r="I26" s="1">
        <v>52560</v>
      </c>
      <c r="J26" s="1" t="s">
        <v>1</v>
      </c>
    </row>
    <row r="27" spans="1:12" ht="18" thickBot="1" x14ac:dyDescent="0.4">
      <c r="A27" s="28"/>
      <c r="B27" s="28"/>
      <c r="C27" s="28"/>
      <c r="D27" s="28"/>
      <c r="E27" s="28"/>
      <c r="F27" s="28"/>
      <c r="G27" s="28"/>
      <c r="I27" s="1">
        <v>4</v>
      </c>
      <c r="J27" s="1" t="s">
        <v>86</v>
      </c>
    </row>
    <row r="28" spans="1:12" ht="15" x14ac:dyDescent="0.35">
      <c r="A28" s="2" t="s">
        <v>3</v>
      </c>
      <c r="B28" s="3"/>
      <c r="C28" s="3" t="s">
        <v>4</v>
      </c>
      <c r="D28" s="3" t="s">
        <v>5</v>
      </c>
      <c r="E28" s="4" t="s">
        <v>85</v>
      </c>
      <c r="F28" s="3" t="s">
        <v>6</v>
      </c>
      <c r="G28" s="5" t="s">
        <v>7</v>
      </c>
    </row>
    <row r="29" spans="1:12" ht="15" thickBot="1" x14ac:dyDescent="0.4">
      <c r="A29" s="6">
        <v>1</v>
      </c>
      <c r="B29" s="7"/>
      <c r="C29" s="7">
        <v>2</v>
      </c>
      <c r="D29" s="7">
        <v>3</v>
      </c>
      <c r="E29" s="8">
        <v>4</v>
      </c>
      <c r="F29" s="7">
        <v>5</v>
      </c>
      <c r="G29" s="9">
        <v>6</v>
      </c>
    </row>
    <row r="30" spans="1:12" ht="16.5" thickTop="1" thickBot="1" x14ac:dyDescent="0.4">
      <c r="A30" s="10" t="s">
        <v>81</v>
      </c>
      <c r="B30" s="11" t="s">
        <v>9</v>
      </c>
      <c r="C30" s="12" t="s">
        <v>42</v>
      </c>
      <c r="D30" s="13" t="s">
        <v>8</v>
      </c>
      <c r="E30" s="14">
        <v>56878</v>
      </c>
      <c r="F30" s="29">
        <v>3.87</v>
      </c>
      <c r="G30" s="16">
        <f t="shared" ref="G30" si="4">ROUND(E30*F30,2)</f>
        <v>220117.86</v>
      </c>
    </row>
    <row r="32" spans="1:12" s="32" customFormat="1" ht="16.5" x14ac:dyDescent="0.35">
      <c r="A32" s="17" t="s">
        <v>11</v>
      </c>
      <c r="B32" s="18" t="s">
        <v>12</v>
      </c>
      <c r="C32" s="19" t="s">
        <v>13</v>
      </c>
      <c r="D32" s="19" t="s">
        <v>14</v>
      </c>
      <c r="E32" s="19" t="s">
        <v>40</v>
      </c>
      <c r="F32" s="19" t="s">
        <v>15</v>
      </c>
    </row>
    <row r="33" spans="1:12" ht="16" x14ac:dyDescent="0.35">
      <c r="A33" s="20" t="s">
        <v>16</v>
      </c>
      <c r="B33" s="21">
        <f>$I$26*0.00075*650</f>
        <v>25623</v>
      </c>
      <c r="C33" s="22" t="s">
        <v>17</v>
      </c>
      <c r="D33" s="21">
        <f>+B33/$I$26</f>
        <v>0.48749999999999999</v>
      </c>
      <c r="E33" s="27">
        <f>B33/$B$46</f>
        <v>0.12596899224806202</v>
      </c>
      <c r="F33" s="21">
        <f>+D33*$E$30</f>
        <v>27728.024999999998</v>
      </c>
    </row>
    <row r="34" spans="1:12" ht="16" x14ac:dyDescent="0.35">
      <c r="A34" s="20" t="s">
        <v>43</v>
      </c>
      <c r="B34" s="21">
        <f>$I$26*0.015*68.9</f>
        <v>54320.76</v>
      </c>
      <c r="C34" s="22" t="s">
        <v>44</v>
      </c>
      <c r="D34" s="21">
        <f t="shared" ref="D34:D45" si="5">+B34/$I$26</f>
        <v>1.0335000000000001</v>
      </c>
      <c r="E34" s="27">
        <f t="shared" ref="E34:E45" si="6">B34/$B$46</f>
        <v>0.26705426356589146</v>
      </c>
      <c r="F34" s="21">
        <f t="shared" ref="F34:F45" si="7">+D34*$E$30</f>
        <v>58783.413000000008</v>
      </c>
    </row>
    <row r="35" spans="1:12" x14ac:dyDescent="0.35">
      <c r="A35" s="20" t="s">
        <v>45</v>
      </c>
      <c r="B35" s="21">
        <f>250*2*3.5</f>
        <v>1750</v>
      </c>
      <c r="C35" s="22" t="s">
        <v>46</v>
      </c>
      <c r="D35" s="21">
        <f t="shared" si="5"/>
        <v>3.3295281582952814E-2</v>
      </c>
      <c r="E35" s="27">
        <f t="shared" si="6"/>
        <v>8.6034319335795383E-3</v>
      </c>
      <c r="F35" s="21">
        <f t="shared" si="7"/>
        <v>1893.7690258751902</v>
      </c>
    </row>
    <row r="36" spans="1:12" x14ac:dyDescent="0.35">
      <c r="A36" s="20" t="s">
        <v>47</v>
      </c>
      <c r="B36" s="21">
        <f>200*1.7</f>
        <v>340</v>
      </c>
      <c r="C36" s="22" t="s">
        <v>48</v>
      </c>
      <c r="D36" s="21">
        <f t="shared" si="5"/>
        <v>6.4687975646879753E-3</v>
      </c>
      <c r="E36" s="27">
        <f t="shared" si="6"/>
        <v>1.6715239185240247E-3</v>
      </c>
      <c r="F36" s="21">
        <f t="shared" si="7"/>
        <v>367.93226788432264</v>
      </c>
    </row>
    <row r="37" spans="1:12" ht="16" x14ac:dyDescent="0.35">
      <c r="A37" s="20" t="s">
        <v>98</v>
      </c>
      <c r="B37" s="21">
        <f>$I$26*1.95</f>
        <v>102492</v>
      </c>
      <c r="C37" s="22" t="s">
        <v>49</v>
      </c>
      <c r="D37" s="21">
        <f t="shared" si="5"/>
        <v>1.95</v>
      </c>
      <c r="E37" s="27">
        <f t="shared" si="6"/>
        <v>0.50387596899224807</v>
      </c>
      <c r="F37" s="21">
        <f t="shared" si="7"/>
        <v>110912.09999999999</v>
      </c>
    </row>
    <row r="38" spans="1:12" x14ac:dyDescent="0.35">
      <c r="A38" s="20" t="s">
        <v>25</v>
      </c>
      <c r="B38" s="21">
        <f>10*50*I27</f>
        <v>2000</v>
      </c>
      <c r="C38" s="22" t="s">
        <v>26</v>
      </c>
      <c r="D38" s="21">
        <f t="shared" si="5"/>
        <v>3.8051750380517502E-2</v>
      </c>
      <c r="E38" s="27">
        <f t="shared" si="6"/>
        <v>9.8324936383766149E-3</v>
      </c>
      <c r="F38" s="21">
        <f t="shared" si="7"/>
        <v>2164.3074581430747</v>
      </c>
    </row>
    <row r="39" spans="1:12" x14ac:dyDescent="0.35">
      <c r="A39" s="20" t="s">
        <v>27</v>
      </c>
      <c r="B39" s="21">
        <f>20*14*I27</f>
        <v>1120</v>
      </c>
      <c r="C39" s="22" t="s">
        <v>28</v>
      </c>
      <c r="D39" s="21">
        <f t="shared" si="5"/>
        <v>2.1308980213089801E-2</v>
      </c>
      <c r="E39" s="27">
        <f t="shared" si="6"/>
        <v>5.5061964374909043E-3</v>
      </c>
      <c r="F39" s="21">
        <f t="shared" si="7"/>
        <v>1212.0121765601216</v>
      </c>
    </row>
    <row r="40" spans="1:12" ht="16" x14ac:dyDescent="0.3">
      <c r="A40" s="20" t="s">
        <v>29</v>
      </c>
      <c r="B40" s="21">
        <f>50*I27</f>
        <v>200</v>
      </c>
      <c r="C40" s="22" t="s">
        <v>30</v>
      </c>
      <c r="D40" s="21">
        <f t="shared" si="5"/>
        <v>3.8051750380517502E-3</v>
      </c>
      <c r="E40" s="27">
        <f t="shared" si="6"/>
        <v>9.8324936383766145E-4</v>
      </c>
      <c r="F40" s="21">
        <f t="shared" si="7"/>
        <v>216.43074581430744</v>
      </c>
      <c r="H40" s="190" t="s">
        <v>1</v>
      </c>
      <c r="I40" s="167" t="s">
        <v>187</v>
      </c>
      <c r="J40" s="190" t="s">
        <v>1</v>
      </c>
      <c r="K40" s="167" t="s">
        <v>187</v>
      </c>
      <c r="L40" s="86" t="s">
        <v>188</v>
      </c>
    </row>
    <row r="41" spans="1:12" x14ac:dyDescent="0.3">
      <c r="A41" s="20" t="s">
        <v>31</v>
      </c>
      <c r="B41" s="21">
        <f>49*12*4*I27</f>
        <v>9408</v>
      </c>
      <c r="C41" s="22" t="s">
        <v>32</v>
      </c>
      <c r="D41" s="21">
        <f t="shared" si="5"/>
        <v>0.17899543378995433</v>
      </c>
      <c r="E41" s="27">
        <f t="shared" si="6"/>
        <v>4.6252050074923598E-2</v>
      </c>
      <c r="F41" s="21">
        <f>+D41*$E$30</f>
        <v>10180.902283105022</v>
      </c>
      <c r="H41" s="98">
        <v>52560</v>
      </c>
      <c r="I41" s="159">
        <f>54*4*12*4</f>
        <v>10368</v>
      </c>
      <c r="J41" s="98">
        <v>56878</v>
      </c>
      <c r="K41" s="186">
        <f>+I41*J41/H41</f>
        <v>11219.769863013698</v>
      </c>
      <c r="L41" s="21">
        <f>+K41-F41</f>
        <v>1038.8675799086759</v>
      </c>
    </row>
    <row r="42" spans="1:12" x14ac:dyDescent="0.35">
      <c r="A42" s="20" t="s">
        <v>33</v>
      </c>
      <c r="B42" s="21">
        <f>40*10*I27</f>
        <v>1600</v>
      </c>
      <c r="C42" s="22" t="s">
        <v>34</v>
      </c>
      <c r="D42" s="21">
        <f t="shared" si="5"/>
        <v>3.0441400304414001E-2</v>
      </c>
      <c r="E42" s="27">
        <f t="shared" si="6"/>
        <v>7.8659949107012916E-3</v>
      </c>
      <c r="F42" s="21">
        <f t="shared" si="7"/>
        <v>1731.4459665144595</v>
      </c>
    </row>
    <row r="43" spans="1:12" x14ac:dyDescent="0.35">
      <c r="A43" s="20" t="s">
        <v>35</v>
      </c>
      <c r="B43" s="21">
        <f>40*10*I27</f>
        <v>1600</v>
      </c>
      <c r="C43" s="22" t="s">
        <v>34</v>
      </c>
      <c r="D43" s="21">
        <f t="shared" si="5"/>
        <v>3.0441400304414001E-2</v>
      </c>
      <c r="E43" s="27">
        <f t="shared" si="6"/>
        <v>7.8659949107012916E-3</v>
      </c>
      <c r="F43" s="21">
        <f t="shared" si="7"/>
        <v>1731.4459665144595</v>
      </c>
    </row>
    <row r="44" spans="1:12" x14ac:dyDescent="0.35">
      <c r="A44" s="20" t="s">
        <v>36</v>
      </c>
      <c r="B44" s="21">
        <f>I27*14*8</f>
        <v>448</v>
      </c>
      <c r="C44" s="22" t="s">
        <v>37</v>
      </c>
      <c r="D44" s="21">
        <f t="shared" si="5"/>
        <v>8.5235920852359207E-3</v>
      </c>
      <c r="E44" s="27">
        <f t="shared" si="6"/>
        <v>2.2024785749963621E-3</v>
      </c>
      <c r="F44" s="21">
        <f t="shared" si="7"/>
        <v>484.8048706240487</v>
      </c>
    </row>
    <row r="45" spans="1:12" ht="26.4" customHeight="1" x14ac:dyDescent="0.35">
      <c r="A45" s="20" t="s">
        <v>38</v>
      </c>
      <c r="B45" s="21">
        <f>(203407.2/52560-SUM(B33:B44)/I26)*52560</f>
        <v>2505.4399999999882</v>
      </c>
      <c r="C45" s="24" t="s">
        <v>82</v>
      </c>
      <c r="D45" s="21">
        <f t="shared" si="5"/>
        <v>4.766818873668166E-2</v>
      </c>
      <c r="E45" s="27">
        <f t="shared" si="6"/>
        <v>1.2317361430667096E-2</v>
      </c>
      <c r="F45" s="21">
        <f t="shared" si="7"/>
        <v>2711.2712389649796</v>
      </c>
    </row>
    <row r="46" spans="1:12" customFormat="1" ht="16.5" x14ac:dyDescent="0.35">
      <c r="A46" s="76" t="s">
        <v>7</v>
      </c>
      <c r="B46" s="77">
        <f>+SUM(B33:B45)</f>
        <v>203407.2</v>
      </c>
      <c r="C46" s="75"/>
      <c r="D46" s="74">
        <f>+SUM(D33:D45)</f>
        <v>3.87</v>
      </c>
      <c r="E46" s="75" t="s">
        <v>39</v>
      </c>
      <c r="F46" s="34">
        <f>+SUM(F33:F45)</f>
        <v>220117.86</v>
      </c>
    </row>
    <row r="48" spans="1:12" ht="17.5" x14ac:dyDescent="0.35">
      <c r="A48" s="210" t="s">
        <v>50</v>
      </c>
      <c r="B48" s="210"/>
      <c r="C48" s="210"/>
      <c r="D48" s="210"/>
      <c r="E48" s="210"/>
      <c r="F48" s="210"/>
      <c r="G48" s="210"/>
    </row>
    <row r="49" spans="1:12" ht="16" x14ac:dyDescent="0.35">
      <c r="I49" s="1">
        <v>135878</v>
      </c>
      <c r="J49" s="1" t="s">
        <v>1</v>
      </c>
    </row>
    <row r="50" spans="1:12" ht="15" thickBot="1" x14ac:dyDescent="0.4">
      <c r="I50" s="1">
        <v>10</v>
      </c>
      <c r="J50" s="1" t="s">
        <v>86</v>
      </c>
    </row>
    <row r="51" spans="1:12" ht="15" x14ac:dyDescent="0.35">
      <c r="A51" s="2" t="s">
        <v>3</v>
      </c>
      <c r="B51" s="3"/>
      <c r="C51" s="3" t="s">
        <v>4</v>
      </c>
      <c r="D51" s="3" t="s">
        <v>5</v>
      </c>
      <c r="E51" s="4" t="s">
        <v>85</v>
      </c>
      <c r="F51" s="3" t="s">
        <v>6</v>
      </c>
      <c r="G51" s="5" t="s">
        <v>7</v>
      </c>
    </row>
    <row r="52" spans="1:12" ht="15" thickBot="1" x14ac:dyDescent="0.4">
      <c r="A52" s="6">
        <v>1</v>
      </c>
      <c r="B52" s="7"/>
      <c r="C52" s="7">
        <v>2</v>
      </c>
      <c r="D52" s="7">
        <v>3</v>
      </c>
      <c r="E52" s="8">
        <v>4</v>
      </c>
      <c r="F52" s="7">
        <v>5</v>
      </c>
      <c r="G52" s="9">
        <v>6</v>
      </c>
    </row>
    <row r="53" spans="1:12" ht="15.5" thickTop="1" thickBot="1" x14ac:dyDescent="0.4">
      <c r="A53" s="35" t="s">
        <v>81</v>
      </c>
      <c r="B53" s="36" t="s">
        <v>9</v>
      </c>
      <c r="C53" s="37" t="s">
        <v>42</v>
      </c>
      <c r="D53" s="38" t="s">
        <v>58</v>
      </c>
      <c r="E53" s="39">
        <v>146736</v>
      </c>
      <c r="F53" s="40">
        <v>3.65</v>
      </c>
      <c r="G53" s="41">
        <f t="shared" ref="G53" si="8">ROUND(E53*F53,2)</f>
        <v>535586.4</v>
      </c>
    </row>
    <row r="56" spans="1:12" ht="16.5" x14ac:dyDescent="0.35">
      <c r="A56" s="17" t="s">
        <v>11</v>
      </c>
      <c r="B56" s="30" t="s">
        <v>12</v>
      </c>
      <c r="C56" s="31" t="s">
        <v>13</v>
      </c>
      <c r="D56" s="19" t="s">
        <v>14</v>
      </c>
      <c r="E56" s="19" t="s">
        <v>40</v>
      </c>
      <c r="F56" s="19" t="s">
        <v>15</v>
      </c>
    </row>
    <row r="57" spans="1:12" ht="16" x14ac:dyDescent="0.35">
      <c r="A57" s="20" t="s">
        <v>16</v>
      </c>
      <c r="B57" s="21">
        <f>I49*0.00075*650</f>
        <v>66240.525000000009</v>
      </c>
      <c r="C57" s="22" t="s">
        <v>17</v>
      </c>
      <c r="D57" s="21">
        <f>+B57/$I$49</f>
        <v>0.48750000000000004</v>
      </c>
      <c r="E57" s="64">
        <f t="shared" ref="E57:E69" si="9">+B57/$B$70</f>
        <v>0.13356164383561644</v>
      </c>
      <c r="F57" s="21">
        <f>+D57*$E$53</f>
        <v>71533.8</v>
      </c>
    </row>
    <row r="58" spans="1:12" ht="16" x14ac:dyDescent="0.35">
      <c r="A58" s="20" t="s">
        <v>43</v>
      </c>
      <c r="B58" s="21">
        <f>I49*0.015*68.9</f>
        <v>140429.913</v>
      </c>
      <c r="C58" s="22" t="s">
        <v>44</v>
      </c>
      <c r="D58" s="21">
        <f t="shared" ref="D58:D69" si="10">+B58/$I$49</f>
        <v>1.0335000000000001</v>
      </c>
      <c r="E58" s="64">
        <f t="shared" si="9"/>
        <v>0.28315068493150686</v>
      </c>
      <c r="F58" s="21">
        <f t="shared" ref="F58:F69" si="11">+D58*$E$53</f>
        <v>151651.65600000002</v>
      </c>
    </row>
    <row r="59" spans="1:12" x14ac:dyDescent="0.35">
      <c r="A59" s="20" t="s">
        <v>45</v>
      </c>
      <c r="B59" s="21">
        <f>300*2*3.5</f>
        <v>2100</v>
      </c>
      <c r="C59" s="22" t="s">
        <v>51</v>
      </c>
      <c r="D59" s="21">
        <f t="shared" si="10"/>
        <v>1.5455040551082589E-2</v>
      </c>
      <c r="E59" s="64">
        <f t="shared" si="9"/>
        <v>4.2342576852281068E-3</v>
      </c>
      <c r="F59" s="21">
        <f t="shared" si="11"/>
        <v>2267.8108303036547</v>
      </c>
    </row>
    <row r="60" spans="1:12" x14ac:dyDescent="0.35">
      <c r="A60" s="20" t="s">
        <v>47</v>
      </c>
      <c r="B60" s="21">
        <f>200*1.7</f>
        <v>340</v>
      </c>
      <c r="C60" s="22" t="s">
        <v>48</v>
      </c>
      <c r="D60" s="21">
        <f t="shared" si="10"/>
        <v>2.5022446606514669E-3</v>
      </c>
      <c r="E60" s="64">
        <f t="shared" si="9"/>
        <v>6.8554648237026481E-4</v>
      </c>
      <c r="F60" s="21">
        <f t="shared" si="11"/>
        <v>367.16937252535365</v>
      </c>
    </row>
    <row r="61" spans="1:12" ht="16" x14ac:dyDescent="0.35">
      <c r="A61" s="20" t="s">
        <v>98</v>
      </c>
      <c r="B61" s="21">
        <f>+I49*1.82</f>
        <v>247297.96000000002</v>
      </c>
      <c r="C61" s="22" t="s">
        <v>52</v>
      </c>
      <c r="D61" s="21">
        <f t="shared" si="10"/>
        <v>1.82</v>
      </c>
      <c r="E61" s="64">
        <f t="shared" si="9"/>
        <v>0.49863013698630138</v>
      </c>
      <c r="F61" s="21">
        <f t="shared" si="11"/>
        <v>267059.52</v>
      </c>
    </row>
    <row r="62" spans="1:12" x14ac:dyDescent="0.35">
      <c r="A62" s="20" t="s">
        <v>25</v>
      </c>
      <c r="B62" s="21">
        <f>10*50*I50</f>
        <v>5000</v>
      </c>
      <c r="C62" s="22" t="s">
        <v>26</v>
      </c>
      <c r="D62" s="21">
        <f t="shared" si="10"/>
        <v>3.6797715597815688E-2</v>
      </c>
      <c r="E62" s="64">
        <f t="shared" si="9"/>
        <v>1.0081565917209778E-2</v>
      </c>
      <c r="F62" s="21">
        <f t="shared" si="11"/>
        <v>5399.5495959610826</v>
      </c>
    </row>
    <row r="63" spans="1:12" x14ac:dyDescent="0.35">
      <c r="A63" s="20" t="s">
        <v>27</v>
      </c>
      <c r="B63" s="21">
        <f>20*14*I50</f>
        <v>2800</v>
      </c>
      <c r="C63" s="22" t="s">
        <v>53</v>
      </c>
      <c r="D63" s="21">
        <f t="shared" si="10"/>
        <v>2.0606720734776787E-2</v>
      </c>
      <c r="E63" s="64">
        <f t="shared" si="9"/>
        <v>5.6456769136374752E-3</v>
      </c>
      <c r="F63" s="21">
        <f t="shared" si="11"/>
        <v>3023.7477737382064</v>
      </c>
    </row>
    <row r="64" spans="1:12" ht="16" x14ac:dyDescent="0.3">
      <c r="A64" s="20" t="s">
        <v>29</v>
      </c>
      <c r="B64" s="21">
        <f>50*I50</f>
        <v>500</v>
      </c>
      <c r="C64" s="22" t="s">
        <v>54</v>
      </c>
      <c r="D64" s="21">
        <f t="shared" si="10"/>
        <v>3.6797715597815688E-3</v>
      </c>
      <c r="E64" s="64">
        <f t="shared" si="9"/>
        <v>1.0081565917209776E-3</v>
      </c>
      <c r="F64" s="21">
        <f t="shared" si="11"/>
        <v>539.95495959610832</v>
      </c>
      <c r="H64" s="190" t="s">
        <v>1</v>
      </c>
      <c r="I64" s="167" t="s">
        <v>187</v>
      </c>
      <c r="J64" s="190" t="s">
        <v>1</v>
      </c>
      <c r="K64" s="167" t="s">
        <v>187</v>
      </c>
      <c r="L64" s="86" t="s">
        <v>188</v>
      </c>
    </row>
    <row r="65" spans="1:12" x14ac:dyDescent="0.3">
      <c r="A65" s="20" t="s">
        <v>31</v>
      </c>
      <c r="B65" s="21">
        <f>49*10*4*I50</f>
        <v>19600</v>
      </c>
      <c r="C65" s="22" t="s">
        <v>55</v>
      </c>
      <c r="D65" s="21">
        <f t="shared" si="10"/>
        <v>0.1442470451434375</v>
      </c>
      <c r="E65" s="64">
        <f t="shared" si="9"/>
        <v>3.9519738395462328E-2</v>
      </c>
      <c r="F65" s="21">
        <f t="shared" si="11"/>
        <v>21166.234416167445</v>
      </c>
      <c r="H65" s="98">
        <v>135878</v>
      </c>
      <c r="I65" s="159">
        <f>54*10*4*10</f>
        <v>21600</v>
      </c>
      <c r="J65" s="98">
        <v>146736</v>
      </c>
      <c r="K65" s="186">
        <f>+I65*J65/H65</f>
        <v>23326.054254551877</v>
      </c>
      <c r="L65" s="21">
        <f>+K65-F65</f>
        <v>2159.8198383844319</v>
      </c>
    </row>
    <row r="66" spans="1:12" x14ac:dyDescent="0.35">
      <c r="A66" s="20" t="s">
        <v>35</v>
      </c>
      <c r="B66" s="21">
        <f>40*10*I50</f>
        <v>4000</v>
      </c>
      <c r="C66" s="22" t="s">
        <v>56</v>
      </c>
      <c r="D66" s="21">
        <f t="shared" si="10"/>
        <v>2.9438172478252551E-2</v>
      </c>
      <c r="E66" s="64">
        <f t="shared" si="9"/>
        <v>8.065252733767821E-3</v>
      </c>
      <c r="F66" s="21">
        <f t="shared" si="11"/>
        <v>4319.6396767688666</v>
      </c>
    </row>
    <row r="67" spans="1:12" x14ac:dyDescent="0.35">
      <c r="A67" s="20" t="s">
        <v>35</v>
      </c>
      <c r="B67" s="21">
        <f>40*10*I50</f>
        <v>4000</v>
      </c>
      <c r="C67" s="22" t="s">
        <v>56</v>
      </c>
      <c r="D67" s="21">
        <f t="shared" si="10"/>
        <v>2.9438172478252551E-2</v>
      </c>
      <c r="E67" s="64">
        <f t="shared" si="9"/>
        <v>8.065252733767821E-3</v>
      </c>
      <c r="F67" s="21">
        <f t="shared" si="11"/>
        <v>4319.6396767688666</v>
      </c>
    </row>
    <row r="68" spans="1:12" x14ac:dyDescent="0.35">
      <c r="A68" s="20" t="s">
        <v>36</v>
      </c>
      <c r="B68" s="21">
        <f>I50*14*8</f>
        <v>1120</v>
      </c>
      <c r="C68" s="22" t="s">
        <v>57</v>
      </c>
      <c r="D68" s="21">
        <f t="shared" si="10"/>
        <v>8.2426882939107132E-3</v>
      </c>
      <c r="E68" s="64">
        <f t="shared" si="9"/>
        <v>2.2582707654549899E-3</v>
      </c>
      <c r="F68" s="21">
        <f t="shared" si="11"/>
        <v>1209.4991094952825</v>
      </c>
      <c r="K68" s="72"/>
    </row>
    <row r="69" spans="1:12" ht="24.65" customHeight="1" x14ac:dyDescent="0.35">
      <c r="A69" s="20" t="s">
        <v>38</v>
      </c>
      <c r="B69" s="21">
        <f>(495954.7/135878-SUM(B57:B68)/I49)*135878</f>
        <v>2526.3019999999519</v>
      </c>
      <c r="C69" s="24" t="s">
        <v>82</v>
      </c>
      <c r="D69" s="21">
        <f t="shared" si="10"/>
        <v>1.8592428502038238E-2</v>
      </c>
      <c r="E69" s="64">
        <f t="shared" si="9"/>
        <v>5.0938160279556822E-3</v>
      </c>
      <c r="F69" s="21">
        <f t="shared" si="11"/>
        <v>2728.1785886750831</v>
      </c>
    </row>
    <row r="70" spans="1:12" customFormat="1" ht="16.5" x14ac:dyDescent="0.35">
      <c r="A70" s="76" t="s">
        <v>7</v>
      </c>
      <c r="B70" s="77">
        <f>+SUM(B57:B69)</f>
        <v>495954.7</v>
      </c>
      <c r="C70" s="75"/>
      <c r="D70" s="74">
        <f>+SUM(D57:D69)</f>
        <v>3.6499999999999995</v>
      </c>
      <c r="E70" s="75" t="s">
        <v>39</v>
      </c>
      <c r="F70" s="34">
        <f>+SUM(F57:F69)</f>
        <v>535586.4</v>
      </c>
    </row>
    <row r="72" spans="1:12" x14ac:dyDescent="0.35">
      <c r="A72" s="63" t="s">
        <v>16</v>
      </c>
    </row>
    <row r="73" spans="1:12" s="46" customFormat="1" ht="15.5" x14ac:dyDescent="0.35">
      <c r="B73" s="46" t="s">
        <v>59</v>
      </c>
      <c r="C73" s="50" t="s">
        <v>60</v>
      </c>
      <c r="D73" s="46" t="s">
        <v>61</v>
      </c>
    </row>
    <row r="74" spans="1:12" s="46" customFormat="1" ht="15.5" x14ac:dyDescent="0.35">
      <c r="B74" s="46" t="s">
        <v>62</v>
      </c>
      <c r="C74" s="50" t="s">
        <v>60</v>
      </c>
      <c r="F74" s="42"/>
      <c r="G74" s="42"/>
    </row>
    <row r="75" spans="1:12" s="46" customFormat="1" ht="15.5" x14ac:dyDescent="0.35">
      <c r="B75" s="51"/>
      <c r="C75" s="51"/>
      <c r="D75" s="52"/>
      <c r="E75" s="53" t="s">
        <v>63</v>
      </c>
      <c r="G75" s="42"/>
    </row>
    <row r="76" spans="1:12" s="46" customFormat="1" ht="18.5" x14ac:dyDescent="0.35">
      <c r="A76" s="30" t="s">
        <v>64</v>
      </c>
      <c r="B76" s="30" t="s">
        <v>65</v>
      </c>
      <c r="C76" s="30" t="s">
        <v>66</v>
      </c>
      <c r="D76" s="30" t="s">
        <v>67</v>
      </c>
      <c r="E76" s="30" t="s">
        <v>68</v>
      </c>
      <c r="F76" s="30" t="s">
        <v>12</v>
      </c>
    </row>
    <row r="77" spans="1:12" s="46" customFormat="1" ht="15.65" customHeight="1" x14ac:dyDescent="0.35">
      <c r="A77" s="43" t="s">
        <v>69</v>
      </c>
      <c r="B77" s="44" t="s">
        <v>70</v>
      </c>
      <c r="C77" s="30">
        <v>46429.8</v>
      </c>
      <c r="D77" s="45">
        <f>+C77*0.00085</f>
        <v>39.465330000000002</v>
      </c>
      <c r="E77" s="30">
        <v>650</v>
      </c>
      <c r="F77" s="45">
        <f>+ROUND(D77*E77,2)</f>
        <v>25652.46</v>
      </c>
      <c r="G77" s="42" t="s">
        <v>214</v>
      </c>
    </row>
    <row r="78" spans="1:12" s="46" customFormat="1" ht="15.5" x14ac:dyDescent="0.35">
      <c r="A78" s="47" t="s">
        <v>71</v>
      </c>
      <c r="B78" s="44" t="s">
        <v>72</v>
      </c>
      <c r="C78" s="48">
        <v>56878</v>
      </c>
      <c r="D78" s="45">
        <f t="shared" ref="D78:D79" si="12">+C78*0.00075</f>
        <v>42.658500000000004</v>
      </c>
      <c r="E78" s="30">
        <v>650</v>
      </c>
      <c r="F78" s="45">
        <f>+ROUND(D78*E78,2)</f>
        <v>27728.03</v>
      </c>
      <c r="G78" s="42" t="s">
        <v>214</v>
      </c>
    </row>
    <row r="79" spans="1:12" s="46" customFormat="1" ht="15.5" x14ac:dyDescent="0.35">
      <c r="A79" s="49" t="s">
        <v>73</v>
      </c>
      <c r="B79" s="44" t="s">
        <v>72</v>
      </c>
      <c r="C79" s="30">
        <v>146736</v>
      </c>
      <c r="D79" s="45">
        <f t="shared" si="12"/>
        <v>110.05200000000001</v>
      </c>
      <c r="E79" s="30">
        <v>650</v>
      </c>
      <c r="F79" s="45">
        <f t="shared" ref="F79" si="13">+ROUND(D79*E79,2)</f>
        <v>71533.8</v>
      </c>
      <c r="G79" s="42" t="s">
        <v>214</v>
      </c>
    </row>
    <row r="80" spans="1:12" s="46" customFormat="1" ht="15.5" x14ac:dyDescent="0.35">
      <c r="D80" s="54">
        <f>+D77+D78+D79</f>
        <v>192.17583000000002</v>
      </c>
      <c r="E80" s="55"/>
      <c r="F80" s="45">
        <f>+F77+F78+F79</f>
        <v>124914.29000000001</v>
      </c>
      <c r="G80" s="42"/>
    </row>
    <row r="81" spans="1:7" s="46" customFormat="1" ht="15.5" x14ac:dyDescent="0.35">
      <c r="C81" s="53" t="s">
        <v>88</v>
      </c>
      <c r="G81" s="42"/>
    </row>
    <row r="82" spans="1:7" s="46" customFormat="1" ht="15.5" x14ac:dyDescent="0.35">
      <c r="A82" s="30" t="s">
        <v>74</v>
      </c>
      <c r="B82" s="30" t="s">
        <v>75</v>
      </c>
      <c r="C82" s="30" t="s">
        <v>76</v>
      </c>
      <c r="D82" s="30" t="s">
        <v>77</v>
      </c>
      <c r="F82" s="56"/>
      <c r="G82" s="42"/>
    </row>
    <row r="83" spans="1:7" s="46" customFormat="1" ht="15.5" x14ac:dyDescent="0.35">
      <c r="A83" s="59">
        <v>46182</v>
      </c>
      <c r="B83" s="65">
        <v>11.53</v>
      </c>
      <c r="C83" s="30">
        <v>826</v>
      </c>
      <c r="D83" s="30">
        <f>+B83*C83</f>
        <v>9523.7799999999988</v>
      </c>
      <c r="E83" s="200" t="s">
        <v>215</v>
      </c>
      <c r="F83" s="57"/>
      <c r="G83" s="42"/>
    </row>
    <row r="84" spans="1:7" s="46" customFormat="1" ht="15.5" x14ac:dyDescent="0.35">
      <c r="A84" s="59">
        <v>46183</v>
      </c>
      <c r="B84" s="65">
        <v>11.858000000000001</v>
      </c>
      <c r="C84" s="30">
        <v>826</v>
      </c>
      <c r="D84" s="45">
        <f>+B84*C84</f>
        <v>9794.7080000000005</v>
      </c>
      <c r="E84" s="200" t="s">
        <v>216</v>
      </c>
      <c r="F84" s="53"/>
    </row>
    <row r="85" spans="1:7" s="46" customFormat="1" ht="15.5" x14ac:dyDescent="0.35">
      <c r="A85" s="59">
        <v>46184</v>
      </c>
      <c r="B85" s="65">
        <v>12.1</v>
      </c>
      <c r="C85" s="30">
        <v>826</v>
      </c>
      <c r="D85" s="45">
        <f>+B85*C85</f>
        <v>9994.6</v>
      </c>
      <c r="E85" s="200" t="s">
        <v>217</v>
      </c>
    </row>
    <row r="86" spans="1:7" s="46" customFormat="1" ht="15.5" x14ac:dyDescent="0.35">
      <c r="A86" s="59">
        <v>46186</v>
      </c>
      <c r="B86" s="65">
        <v>9.5220000000000002</v>
      </c>
      <c r="C86" s="30">
        <v>826</v>
      </c>
      <c r="D86" s="45">
        <f t="shared" ref="D86:D100" si="14">+B86*C86</f>
        <v>7865.1720000000005</v>
      </c>
      <c r="E86" s="200" t="s">
        <v>218</v>
      </c>
    </row>
    <row r="87" spans="1:7" s="46" customFormat="1" ht="15.5" x14ac:dyDescent="0.35">
      <c r="A87" s="60">
        <v>46190</v>
      </c>
      <c r="B87" s="66">
        <v>11.944000000000001</v>
      </c>
      <c r="C87" s="58">
        <v>826</v>
      </c>
      <c r="D87" s="68">
        <f t="shared" si="14"/>
        <v>9865.7440000000006</v>
      </c>
      <c r="E87" s="200" t="s">
        <v>219</v>
      </c>
    </row>
    <row r="88" spans="1:7" s="46" customFormat="1" ht="15.5" x14ac:dyDescent="0.35">
      <c r="A88" s="59">
        <v>46202</v>
      </c>
      <c r="B88" s="65">
        <v>9.6999999999999993</v>
      </c>
      <c r="C88" s="30">
        <v>800</v>
      </c>
      <c r="D88" s="45">
        <f t="shared" si="14"/>
        <v>7759.9999999999991</v>
      </c>
      <c r="E88" s="200" t="s">
        <v>220</v>
      </c>
    </row>
    <row r="89" spans="1:7" s="46" customFormat="1" ht="15.5" x14ac:dyDescent="0.35">
      <c r="A89" s="59">
        <v>46203</v>
      </c>
      <c r="B89" s="65">
        <v>11.677</v>
      </c>
      <c r="C89" s="30">
        <v>800</v>
      </c>
      <c r="D89" s="45">
        <f t="shared" si="14"/>
        <v>9341.6</v>
      </c>
      <c r="E89" s="200" t="s">
        <v>221</v>
      </c>
    </row>
    <row r="90" spans="1:7" s="46" customFormat="1" ht="15.5" x14ac:dyDescent="0.35">
      <c r="A90" s="59">
        <v>46204</v>
      </c>
      <c r="B90" s="65">
        <v>10.02</v>
      </c>
      <c r="C90" s="30">
        <v>800</v>
      </c>
      <c r="D90" s="45">
        <f t="shared" si="14"/>
        <v>8016</v>
      </c>
      <c r="E90" s="200" t="s">
        <v>222</v>
      </c>
    </row>
    <row r="91" spans="1:7" s="46" customFormat="1" ht="15.5" x14ac:dyDescent="0.35">
      <c r="A91" s="60">
        <v>46206</v>
      </c>
      <c r="B91" s="66">
        <v>14.348000000000001</v>
      </c>
      <c r="C91" s="58">
        <v>800</v>
      </c>
      <c r="D91" s="68">
        <f t="shared" si="14"/>
        <v>11478.400000000001</v>
      </c>
      <c r="E91" s="200" t="s">
        <v>223</v>
      </c>
    </row>
    <row r="92" spans="1:7" s="46" customFormat="1" ht="15.5" x14ac:dyDescent="0.35">
      <c r="A92" s="59">
        <v>46210</v>
      </c>
      <c r="B92" s="65">
        <v>10</v>
      </c>
      <c r="C92" s="30">
        <v>800</v>
      </c>
      <c r="D92" s="45">
        <f t="shared" si="14"/>
        <v>8000</v>
      </c>
      <c r="E92" s="200" t="s">
        <v>224</v>
      </c>
    </row>
    <row r="93" spans="1:7" s="46" customFormat="1" ht="15.5" x14ac:dyDescent="0.35">
      <c r="A93" s="59">
        <v>46211</v>
      </c>
      <c r="B93" s="65">
        <v>10.3</v>
      </c>
      <c r="C93" s="30">
        <v>800</v>
      </c>
      <c r="D93" s="45">
        <f t="shared" si="14"/>
        <v>8240</v>
      </c>
      <c r="E93" s="200" t="s">
        <v>225</v>
      </c>
    </row>
    <row r="94" spans="1:7" s="46" customFormat="1" ht="15.5" x14ac:dyDescent="0.35">
      <c r="A94" s="59">
        <v>46217</v>
      </c>
      <c r="B94" s="65">
        <v>13.54</v>
      </c>
      <c r="C94" s="30">
        <v>801</v>
      </c>
      <c r="D94" s="45">
        <f t="shared" si="14"/>
        <v>10845.539999999999</v>
      </c>
      <c r="E94" s="200" t="s">
        <v>226</v>
      </c>
    </row>
    <row r="95" spans="1:7" s="46" customFormat="1" ht="15.5" x14ac:dyDescent="0.35">
      <c r="A95" s="59">
        <v>46218</v>
      </c>
      <c r="B95" s="65">
        <v>13.9</v>
      </c>
      <c r="C95" s="30">
        <v>801</v>
      </c>
      <c r="D95" s="45">
        <f t="shared" si="14"/>
        <v>11133.9</v>
      </c>
      <c r="E95" s="200" t="s">
        <v>227</v>
      </c>
    </row>
    <row r="96" spans="1:7" s="46" customFormat="1" ht="15.5" x14ac:dyDescent="0.35">
      <c r="A96" s="59">
        <v>46220</v>
      </c>
      <c r="B96" s="65">
        <v>8.6</v>
      </c>
      <c r="C96" s="30">
        <v>801</v>
      </c>
      <c r="D96" s="45">
        <f t="shared" si="14"/>
        <v>6888.5999999999995</v>
      </c>
      <c r="E96" s="200" t="s">
        <v>228</v>
      </c>
    </row>
    <row r="97" spans="1:5" s="46" customFormat="1" ht="15.5" x14ac:dyDescent="0.35">
      <c r="A97" s="59">
        <v>46223</v>
      </c>
      <c r="B97" s="65">
        <v>11.276999999999999</v>
      </c>
      <c r="C97" s="30">
        <v>801</v>
      </c>
      <c r="D97" s="45">
        <f t="shared" si="14"/>
        <v>9032.8769999999986</v>
      </c>
      <c r="E97" s="200" t="s">
        <v>229</v>
      </c>
    </row>
    <row r="98" spans="1:5" s="46" customFormat="1" ht="15.5" x14ac:dyDescent="0.35">
      <c r="A98" s="59">
        <v>46224</v>
      </c>
      <c r="B98" s="65">
        <v>8.1999999999999993</v>
      </c>
      <c r="C98" s="30">
        <v>827</v>
      </c>
      <c r="D98" s="45">
        <f t="shared" si="14"/>
        <v>6781.4</v>
      </c>
      <c r="E98" s="200" t="s">
        <v>230</v>
      </c>
    </row>
    <row r="99" spans="1:5" s="46" customFormat="1" ht="15.5" x14ac:dyDescent="0.35">
      <c r="A99" s="30" t="s">
        <v>78</v>
      </c>
      <c r="B99" s="65">
        <v>9.5</v>
      </c>
      <c r="C99" s="30">
        <v>827</v>
      </c>
      <c r="D99" s="45">
        <f t="shared" si="14"/>
        <v>7856.5</v>
      </c>
      <c r="E99" s="200" t="s">
        <v>231</v>
      </c>
    </row>
    <row r="100" spans="1:5" s="46" customFormat="1" ht="15.5" x14ac:dyDescent="0.35">
      <c r="A100" s="30" t="s">
        <v>79</v>
      </c>
      <c r="B100" s="65">
        <v>6.2880000000000003</v>
      </c>
      <c r="C100" s="30">
        <v>827</v>
      </c>
      <c r="D100" s="45">
        <f t="shared" si="14"/>
        <v>5200.1760000000004</v>
      </c>
      <c r="E100" s="200" t="s">
        <v>232</v>
      </c>
    </row>
    <row r="101" spans="1:5" s="46" customFormat="1" ht="15.5" x14ac:dyDescent="0.35">
      <c r="A101" s="58" t="s">
        <v>80</v>
      </c>
      <c r="B101" s="67">
        <f>+SUM(B83:B100)</f>
        <v>194.30399999999997</v>
      </c>
      <c r="D101" s="67">
        <f>+SUM(D83:D100)</f>
        <v>157618.99699999997</v>
      </c>
    </row>
    <row r="102" spans="1:5" x14ac:dyDescent="0.35">
      <c r="C102" s="61" t="s">
        <v>89</v>
      </c>
      <c r="D102" s="34">
        <f>+D101-F80</f>
        <v>32704.706999999966</v>
      </c>
    </row>
    <row r="103" spans="1:5" ht="28" x14ac:dyDescent="0.35">
      <c r="C103" s="199" t="s">
        <v>238</v>
      </c>
      <c r="D103" s="64">
        <f>+D102/F80</f>
        <v>0.26181717880316147</v>
      </c>
    </row>
    <row r="104" spans="1:5" x14ac:dyDescent="0.35">
      <c r="B104" s="61"/>
      <c r="C104" s="61"/>
    </row>
    <row r="105" spans="1:5" x14ac:dyDescent="0.35">
      <c r="A105" s="63" t="s">
        <v>104</v>
      </c>
    </row>
    <row r="106" spans="1:5" ht="15" x14ac:dyDescent="0.3">
      <c r="A106" s="17" t="s">
        <v>104</v>
      </c>
      <c r="B106" s="83" t="s">
        <v>105</v>
      </c>
      <c r="C106" s="84" t="s">
        <v>106</v>
      </c>
      <c r="D106" s="84" t="s">
        <v>107</v>
      </c>
    </row>
    <row r="107" spans="1:5" s="78" customFormat="1" ht="13" x14ac:dyDescent="0.3">
      <c r="A107" s="79" t="s">
        <v>99</v>
      </c>
      <c r="B107" s="80">
        <v>35</v>
      </c>
      <c r="C107" s="81">
        <f>18*10</f>
        <v>180</v>
      </c>
      <c r="D107" s="81">
        <f>+B107*C107</f>
        <v>6300</v>
      </c>
    </row>
    <row r="108" spans="1:5" s="78" customFormat="1" ht="13" x14ac:dyDescent="0.3">
      <c r="A108" s="79" t="s">
        <v>100</v>
      </c>
      <c r="B108" s="80">
        <v>12</v>
      </c>
      <c r="C108" s="81">
        <f t="shared" ref="C108:C110" si="15">18*10</f>
        <v>180</v>
      </c>
      <c r="D108" s="81">
        <f t="shared" ref="D108:D113" si="16">+B108*C108</f>
        <v>2160</v>
      </c>
    </row>
    <row r="109" spans="1:5" s="78" customFormat="1" ht="13" x14ac:dyDescent="0.3">
      <c r="A109" s="79" t="s">
        <v>100</v>
      </c>
      <c r="B109" s="80">
        <v>12</v>
      </c>
      <c r="C109" s="81">
        <f t="shared" si="15"/>
        <v>180</v>
      </c>
      <c r="D109" s="81">
        <f t="shared" si="16"/>
        <v>2160</v>
      </c>
    </row>
    <row r="110" spans="1:5" s="78" customFormat="1" ht="13" x14ac:dyDescent="0.3">
      <c r="A110" s="79" t="s">
        <v>100</v>
      </c>
      <c r="B110" s="80">
        <v>12</v>
      </c>
      <c r="C110" s="81">
        <f t="shared" si="15"/>
        <v>180</v>
      </c>
      <c r="D110" s="81">
        <f t="shared" si="16"/>
        <v>2160</v>
      </c>
    </row>
    <row r="111" spans="1:5" s="78" customFormat="1" ht="13" x14ac:dyDescent="0.3">
      <c r="A111" s="79" t="s">
        <v>101</v>
      </c>
      <c r="B111" s="80">
        <v>4</v>
      </c>
      <c r="C111" s="81">
        <f>4*18</f>
        <v>72</v>
      </c>
      <c r="D111" s="81">
        <f t="shared" si="16"/>
        <v>288</v>
      </c>
    </row>
    <row r="112" spans="1:5" s="78" customFormat="1" ht="13" x14ac:dyDescent="0.3">
      <c r="A112" s="79" t="s">
        <v>102</v>
      </c>
      <c r="B112" s="80">
        <v>10</v>
      </c>
      <c r="C112" s="81">
        <f>9*18</f>
        <v>162</v>
      </c>
      <c r="D112" s="81">
        <f t="shared" si="16"/>
        <v>1620</v>
      </c>
    </row>
    <row r="113" spans="1:6" s="78" customFormat="1" ht="13" x14ac:dyDescent="0.3">
      <c r="A113" s="79" t="s">
        <v>102</v>
      </c>
      <c r="B113" s="80">
        <v>10</v>
      </c>
      <c r="C113" s="81">
        <f>9*18</f>
        <v>162</v>
      </c>
      <c r="D113" s="81">
        <f t="shared" si="16"/>
        <v>1620</v>
      </c>
    </row>
    <row r="114" spans="1:6" s="78" customFormat="1" ht="13" x14ac:dyDescent="0.3">
      <c r="A114" s="85"/>
      <c r="B114" s="85"/>
      <c r="C114" s="87" t="s">
        <v>103</v>
      </c>
      <c r="D114" s="82">
        <f>+SUM(D107:D113)</f>
        <v>16308</v>
      </c>
    </row>
    <row r="115" spans="1:6" x14ac:dyDescent="0.35">
      <c r="C115" s="61" t="s">
        <v>108</v>
      </c>
      <c r="D115" s="86">
        <v>1.0468</v>
      </c>
      <c r="E115" s="201" t="s">
        <v>233</v>
      </c>
    </row>
    <row r="116" spans="1:6" x14ac:dyDescent="0.35">
      <c r="C116" s="61" t="s">
        <v>109</v>
      </c>
      <c r="D116" s="34">
        <f>+D115*D114</f>
        <v>17071.214400000001</v>
      </c>
    </row>
    <row r="117" spans="1:6" x14ac:dyDescent="0.35">
      <c r="C117" s="61" t="s">
        <v>110</v>
      </c>
      <c r="D117" s="97">
        <f>(1.3298*8+1.2629*10)/18</f>
        <v>1.2926333333333335</v>
      </c>
      <c r="E117" s="201" t="s">
        <v>234</v>
      </c>
      <c r="F117" s="201" t="s">
        <v>235</v>
      </c>
    </row>
    <row r="118" spans="1:6" x14ac:dyDescent="0.35">
      <c r="C118" s="61" t="s">
        <v>111</v>
      </c>
      <c r="D118" s="34">
        <f>+D117*D116</f>
        <v>22066.820773920004</v>
      </c>
    </row>
    <row r="119" spans="1:6" x14ac:dyDescent="0.35">
      <c r="C119" s="61" t="s">
        <v>117</v>
      </c>
      <c r="D119" s="34">
        <f>+D118-D116</f>
        <v>4995.6063739200035</v>
      </c>
    </row>
    <row r="120" spans="1:6" ht="28" x14ac:dyDescent="0.35">
      <c r="C120" s="199" t="s">
        <v>239</v>
      </c>
      <c r="D120" s="64">
        <f>D119/D116</f>
        <v>0.29263333333333352</v>
      </c>
    </row>
  </sheetData>
  <mergeCells count="3">
    <mergeCell ref="A2:G2"/>
    <mergeCell ref="A25:G25"/>
    <mergeCell ref="A48:G48"/>
  </mergeCells>
  <pageMargins left="0.7" right="0.7" top="0.75" bottom="0.75" header="0.3" footer="0.3"/>
  <pageSetup paperSize="9" scale="20" orientation="portrait" r:id="rId1"/>
  <ignoredErrors>
    <ignoredError sqref="D117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6567-77BE-412F-926E-02D52C4689F0}">
  <dimension ref="A1:I44"/>
  <sheetViews>
    <sheetView zoomScale="70" zoomScaleNormal="70" workbookViewId="0">
      <selection activeCell="F53" sqref="F53"/>
    </sheetView>
  </sheetViews>
  <sheetFormatPr defaultColWidth="8.90625" defaultRowHeight="14" x14ac:dyDescent="0.3"/>
  <cols>
    <col min="1" max="1" width="44.6328125" style="101" customWidth="1"/>
    <col min="2" max="2" width="47.6328125" style="101" bestFit="1" customWidth="1"/>
    <col min="3" max="3" width="49.36328125" style="101" bestFit="1" customWidth="1"/>
    <col min="4" max="4" width="24.90625" style="101" bestFit="1" customWidth="1"/>
    <col min="5" max="5" width="28.36328125" style="101" customWidth="1"/>
    <col min="6" max="6" width="47.36328125" style="101" bestFit="1" customWidth="1"/>
    <col min="7" max="7" width="29.90625" style="101" bestFit="1" customWidth="1"/>
    <col min="8" max="8" width="48.1796875" style="101" bestFit="1" customWidth="1"/>
    <col min="9" max="9" width="55.08984375" style="101" bestFit="1" customWidth="1"/>
    <col min="10" max="16384" width="8.90625" style="101"/>
  </cols>
  <sheetData>
    <row r="1" spans="1:7" x14ac:dyDescent="0.3">
      <c r="A1" s="62" t="s">
        <v>83</v>
      </c>
      <c r="B1" s="1" t="s">
        <v>173</v>
      </c>
    </row>
    <row r="2" spans="1:7" x14ac:dyDescent="0.3">
      <c r="A2" s="102" t="s">
        <v>118</v>
      </c>
      <c r="B2" s="103"/>
      <c r="C2" s="211"/>
      <c r="D2" s="211"/>
      <c r="E2" s="104"/>
      <c r="F2" s="104"/>
      <c r="G2" s="104"/>
    </row>
    <row r="3" spans="1:7" ht="17.5" x14ac:dyDescent="0.3">
      <c r="A3" s="209" t="s">
        <v>41</v>
      </c>
      <c r="B3" s="209"/>
      <c r="C3" s="209"/>
      <c r="D3" s="209"/>
      <c r="E3" s="209"/>
      <c r="F3" s="209"/>
      <c r="G3" s="209"/>
    </row>
    <row r="4" spans="1:7" ht="17.5" x14ac:dyDescent="0.3">
      <c r="A4" s="63" t="s">
        <v>90</v>
      </c>
      <c r="B4" s="28"/>
      <c r="C4" s="28"/>
      <c r="D4" s="28"/>
      <c r="E4" s="28"/>
      <c r="F4" s="28"/>
      <c r="G4" s="28"/>
    </row>
    <row r="5" spans="1:7" ht="16.5" x14ac:dyDescent="0.3">
      <c r="A5" s="17" t="s">
        <v>11</v>
      </c>
      <c r="B5" s="18" t="s">
        <v>12</v>
      </c>
      <c r="C5" s="19" t="s">
        <v>13</v>
      </c>
      <c r="D5" s="19" t="s">
        <v>14</v>
      </c>
      <c r="E5" s="19" t="s">
        <v>40</v>
      </c>
      <c r="F5" s="19" t="s">
        <v>15</v>
      </c>
    </row>
    <row r="6" spans="1:7" x14ac:dyDescent="0.3">
      <c r="A6" s="20" t="s">
        <v>129</v>
      </c>
      <c r="B6" s="140">
        <f>14600*0.05*1.8*6.9</f>
        <v>9066.6</v>
      </c>
      <c r="C6" s="19"/>
      <c r="D6" s="152">
        <f>+B6/14600</f>
        <v>0.621</v>
      </c>
      <c r="E6" s="185">
        <f>+B6/29054</f>
        <v>0.31206030150753772</v>
      </c>
      <c r="F6" s="152">
        <f t="shared" ref="F6:F12" si="0">+D6*14779</f>
        <v>9177.759</v>
      </c>
    </row>
    <row r="7" spans="1:7" x14ac:dyDescent="0.3">
      <c r="A7" s="69" t="s">
        <v>130</v>
      </c>
      <c r="B7" s="140">
        <f>14600*0.05*1.8*67*0.09</f>
        <v>7923.42</v>
      </c>
      <c r="C7" s="141" t="s">
        <v>134</v>
      </c>
      <c r="D7" s="152">
        <f t="shared" ref="D7:D12" si="1">+B7/14600</f>
        <v>0.54269999999999996</v>
      </c>
      <c r="E7" s="185">
        <f t="shared" ref="E7:E12" si="2">+B7/29054</f>
        <v>0.27271356783919598</v>
      </c>
      <c r="F7" s="152">
        <f>+D7*14779</f>
        <v>8020.5632999999998</v>
      </c>
    </row>
    <row r="8" spans="1:7" x14ac:dyDescent="0.3">
      <c r="A8" s="23" t="s">
        <v>131</v>
      </c>
      <c r="B8" s="140">
        <f>240*4*1.7</f>
        <v>1632</v>
      </c>
      <c r="C8" s="22" t="s">
        <v>135</v>
      </c>
      <c r="D8" s="152">
        <f t="shared" si="1"/>
        <v>0.11178082191780822</v>
      </c>
      <c r="E8" s="185">
        <f t="shared" si="2"/>
        <v>5.6171267295381015E-2</v>
      </c>
      <c r="F8" s="152">
        <f t="shared" si="0"/>
        <v>1652.0087671232877</v>
      </c>
    </row>
    <row r="9" spans="1:7" x14ac:dyDescent="0.3">
      <c r="A9" s="23" t="s">
        <v>27</v>
      </c>
      <c r="B9" s="140">
        <f>4*20*14</f>
        <v>1120</v>
      </c>
      <c r="C9" s="141" t="s">
        <v>141</v>
      </c>
      <c r="D9" s="152">
        <f t="shared" si="1"/>
        <v>7.6712328767123292E-2</v>
      </c>
      <c r="E9" s="185">
        <f t="shared" si="2"/>
        <v>3.854890892820266E-2</v>
      </c>
      <c r="F9" s="152">
        <f t="shared" si="0"/>
        <v>1133.7315068493151</v>
      </c>
    </row>
    <row r="10" spans="1:7" x14ac:dyDescent="0.3">
      <c r="A10" s="20" t="s">
        <v>132</v>
      </c>
      <c r="B10" s="140">
        <f>50*4</f>
        <v>200</v>
      </c>
      <c r="C10" s="141" t="s">
        <v>30</v>
      </c>
      <c r="D10" s="152">
        <f t="shared" si="1"/>
        <v>1.3698630136986301E-2</v>
      </c>
      <c r="E10" s="185">
        <f t="shared" si="2"/>
        <v>6.8837337371790456E-3</v>
      </c>
      <c r="F10" s="152">
        <f t="shared" si="0"/>
        <v>202.45205479452054</v>
      </c>
    </row>
    <row r="11" spans="1:7" x14ac:dyDescent="0.3">
      <c r="A11" s="20" t="s">
        <v>133</v>
      </c>
      <c r="B11" s="140">
        <f>140*14*4</f>
        <v>7840</v>
      </c>
      <c r="C11" s="141" t="s">
        <v>136</v>
      </c>
      <c r="D11" s="152">
        <f t="shared" si="1"/>
        <v>0.53698630136986303</v>
      </c>
      <c r="E11" s="185">
        <f t="shared" si="2"/>
        <v>0.26984236249741861</v>
      </c>
      <c r="F11" s="152">
        <f t="shared" si="0"/>
        <v>7936.1205479452055</v>
      </c>
    </row>
    <row r="12" spans="1:7" x14ac:dyDescent="0.3">
      <c r="A12" s="20" t="s">
        <v>137</v>
      </c>
      <c r="B12" s="34">
        <f>(29054/14600-SUM(B6:B11)/14600)*14600</f>
        <v>1271.9800000000005</v>
      </c>
      <c r="C12" s="141" t="s">
        <v>138</v>
      </c>
      <c r="D12" s="152">
        <f t="shared" si="1"/>
        <v>8.7121917808219207E-2</v>
      </c>
      <c r="E12" s="185">
        <f t="shared" si="2"/>
        <v>4.3779858195085029E-2</v>
      </c>
      <c r="F12" s="152">
        <f t="shared" si="0"/>
        <v>1287.5748232876717</v>
      </c>
    </row>
    <row r="13" spans="1:7" ht="17.5" x14ac:dyDescent="0.3">
      <c r="A13" s="76" t="s">
        <v>7</v>
      </c>
      <c r="B13" s="77">
        <f>+SUM(B6:B12)</f>
        <v>29054</v>
      </c>
      <c r="D13" s="33">
        <f>+SUM(B6:B12)/14600</f>
        <v>1.99</v>
      </c>
      <c r="E13" s="26" t="s">
        <v>39</v>
      </c>
      <c r="G13" s="28"/>
    </row>
    <row r="14" spans="1:7" ht="18" thickBot="1" x14ac:dyDescent="0.35">
      <c r="A14" s="28"/>
      <c r="B14" s="142"/>
      <c r="C14" s="143"/>
      <c r="D14" s="28"/>
      <c r="E14" s="28"/>
      <c r="F14" s="28"/>
      <c r="G14" s="28"/>
    </row>
    <row r="15" spans="1:7" ht="15" x14ac:dyDescent="0.3">
      <c r="A15" s="105" t="s">
        <v>3</v>
      </c>
      <c r="B15" s="106"/>
      <c r="C15" s="106" t="s">
        <v>4</v>
      </c>
      <c r="D15" s="106" t="s">
        <v>5</v>
      </c>
      <c r="E15" s="4" t="s">
        <v>85</v>
      </c>
      <c r="F15" s="106" t="s">
        <v>6</v>
      </c>
      <c r="G15" s="107" t="s">
        <v>7</v>
      </c>
    </row>
    <row r="16" spans="1:7" ht="14.5" thickBot="1" x14ac:dyDescent="0.35">
      <c r="A16" s="108">
        <v>1</v>
      </c>
      <c r="B16" s="109"/>
      <c r="C16" s="109">
        <v>2</v>
      </c>
      <c r="D16" s="109">
        <v>3</v>
      </c>
      <c r="E16" s="110">
        <v>4</v>
      </c>
      <c r="F16" s="109">
        <v>5</v>
      </c>
      <c r="G16" s="111">
        <v>6</v>
      </c>
    </row>
    <row r="17" spans="1:9" ht="18" thickTop="1" thickBot="1" x14ac:dyDescent="0.35">
      <c r="A17" s="112">
        <v>44499</v>
      </c>
      <c r="B17" s="113"/>
      <c r="C17" s="114" t="s">
        <v>127</v>
      </c>
      <c r="D17" s="115" t="s">
        <v>128</v>
      </c>
      <c r="E17" s="116">
        <v>14779</v>
      </c>
      <c r="F17" s="117">
        <v>1.99</v>
      </c>
      <c r="G17" s="118">
        <f t="shared" ref="G17" si="3">ROUND(E17*F17,2)</f>
        <v>29410.21</v>
      </c>
    </row>
    <row r="18" spans="1:9" x14ac:dyDescent="0.3">
      <c r="A18" s="119"/>
      <c r="B18" s="119"/>
      <c r="C18" s="120"/>
      <c r="D18" s="121"/>
      <c r="E18" s="122"/>
      <c r="F18" s="123"/>
      <c r="G18" s="124"/>
    </row>
    <row r="19" spans="1:9" x14ac:dyDescent="0.3">
      <c r="A19" s="125"/>
      <c r="B19" s="125"/>
      <c r="C19" s="125"/>
      <c r="D19" s="104" t="s">
        <v>119</v>
      </c>
      <c r="E19" s="104" t="s">
        <v>120</v>
      </c>
      <c r="F19" s="125"/>
      <c r="G19" s="125"/>
    </row>
    <row r="20" spans="1:9" x14ac:dyDescent="0.3">
      <c r="A20" s="86" t="s">
        <v>65</v>
      </c>
      <c r="B20" s="86" t="s">
        <v>121</v>
      </c>
      <c r="C20" s="86" t="s">
        <v>122</v>
      </c>
      <c r="D20" s="86" t="s">
        <v>123</v>
      </c>
      <c r="E20" s="86" t="s">
        <v>123</v>
      </c>
      <c r="F20" s="86" t="s">
        <v>124</v>
      </c>
      <c r="G20" s="86" t="s">
        <v>92</v>
      </c>
    </row>
    <row r="21" spans="1:9" x14ac:dyDescent="0.3">
      <c r="A21" s="126" t="s">
        <v>125</v>
      </c>
      <c r="B21" s="34">
        <v>1205.95</v>
      </c>
      <c r="C21" s="86">
        <v>67</v>
      </c>
      <c r="D21" s="127">
        <v>0.09</v>
      </c>
      <c r="E21" s="128">
        <v>9.6000000000000002E-2</v>
      </c>
      <c r="F21" s="127">
        <f>+E21-D21</f>
        <v>6.0000000000000053E-3</v>
      </c>
      <c r="G21" s="34">
        <f>+ROUND(B21*C21*F21,2)</f>
        <v>484.79</v>
      </c>
      <c r="H21" s="202" t="s">
        <v>236</v>
      </c>
      <c r="I21" s="202" t="s">
        <v>237</v>
      </c>
    </row>
    <row r="22" spans="1:9" x14ac:dyDescent="0.3">
      <c r="A22" s="144"/>
      <c r="B22" s="100"/>
      <c r="C22" s="145"/>
      <c r="D22" s="146"/>
      <c r="E22" s="129"/>
      <c r="F22" s="137" t="s">
        <v>139</v>
      </c>
      <c r="G22" s="138">
        <f>+G21</f>
        <v>484.79</v>
      </c>
    </row>
    <row r="23" spans="1:9" ht="28" x14ac:dyDescent="0.3">
      <c r="A23" s="147"/>
      <c r="B23" s="148"/>
      <c r="C23" s="149"/>
      <c r="D23" s="150"/>
      <c r="E23" s="151"/>
      <c r="F23" s="199" t="s">
        <v>240</v>
      </c>
      <c r="G23" s="64">
        <f>+G22/(B21*C21*D21)</f>
        <v>6.6666405386173591E-2</v>
      </c>
    </row>
    <row r="24" spans="1:9" ht="17.5" x14ac:dyDescent="0.3">
      <c r="A24" s="210" t="s">
        <v>50</v>
      </c>
      <c r="B24" s="210"/>
      <c r="C24" s="210"/>
      <c r="D24" s="210"/>
      <c r="E24" s="210"/>
      <c r="F24" s="210"/>
      <c r="G24" s="210"/>
    </row>
    <row r="25" spans="1:9" ht="17.5" x14ac:dyDescent="0.35">
      <c r="A25" s="212"/>
      <c r="B25" s="212"/>
      <c r="C25" s="212"/>
      <c r="D25" s="212"/>
      <c r="E25" s="212"/>
      <c r="F25" s="212"/>
      <c r="G25" s="212"/>
    </row>
    <row r="26" spans="1:9" ht="16.5" x14ac:dyDescent="0.3">
      <c r="A26" s="17" t="s">
        <v>11</v>
      </c>
      <c r="B26" s="18" t="s">
        <v>12</v>
      </c>
      <c r="C26" s="19" t="s">
        <v>13</v>
      </c>
      <c r="D26" s="19" t="s">
        <v>14</v>
      </c>
      <c r="E26" s="19" t="s">
        <v>40</v>
      </c>
      <c r="F26" s="19" t="s">
        <v>15</v>
      </c>
    </row>
    <row r="27" spans="1:9" x14ac:dyDescent="0.3">
      <c r="A27" s="20" t="s">
        <v>129</v>
      </c>
      <c r="B27" s="140">
        <f>38000*0.05*1.7*7</f>
        <v>22610</v>
      </c>
      <c r="C27" s="19"/>
      <c r="D27" s="152">
        <f>+B27/38000</f>
        <v>0.59499999999999997</v>
      </c>
      <c r="E27" s="185">
        <f>+F27/74462.7</f>
        <v>0.3051282051282051</v>
      </c>
      <c r="F27" s="152">
        <f t="shared" ref="F27:F33" si="4">+D27*38186</f>
        <v>22720.67</v>
      </c>
    </row>
    <row r="28" spans="1:9" x14ac:dyDescent="0.3">
      <c r="A28" s="69" t="s">
        <v>130</v>
      </c>
      <c r="B28" s="140">
        <f>38000*0.05*1.7*90*0.083</f>
        <v>24128.100000000002</v>
      </c>
      <c r="C28" s="141" t="s">
        <v>140</v>
      </c>
      <c r="D28" s="152">
        <f t="shared" ref="D28:D33" si="5">+B28/38000</f>
        <v>0.63495000000000001</v>
      </c>
      <c r="E28" s="185">
        <f t="shared" ref="E28:E33" si="6">+F28/74462.7</f>
        <v>0.32561538461538464</v>
      </c>
      <c r="F28" s="152">
        <f t="shared" si="4"/>
        <v>24246.200700000001</v>
      </c>
    </row>
    <row r="29" spans="1:9" x14ac:dyDescent="0.3">
      <c r="A29" s="23" t="s">
        <v>131</v>
      </c>
      <c r="B29" s="140">
        <f>240*4*1.7</f>
        <v>1632</v>
      </c>
      <c r="C29" s="22" t="s">
        <v>135</v>
      </c>
      <c r="D29" s="152">
        <f t="shared" si="5"/>
        <v>4.294736842105263E-2</v>
      </c>
      <c r="E29" s="185">
        <f t="shared" si="6"/>
        <v>2.2024291497975707E-2</v>
      </c>
      <c r="F29" s="152">
        <f t="shared" si="4"/>
        <v>1639.9882105263157</v>
      </c>
    </row>
    <row r="30" spans="1:9" x14ac:dyDescent="0.3">
      <c r="A30" s="23" t="s">
        <v>27</v>
      </c>
      <c r="B30" s="140">
        <f>12*20*14</f>
        <v>3360</v>
      </c>
      <c r="C30" s="141" t="s">
        <v>142</v>
      </c>
      <c r="D30" s="152">
        <f t="shared" si="5"/>
        <v>8.8421052631578942E-2</v>
      </c>
      <c r="E30" s="185">
        <f t="shared" si="6"/>
        <v>4.5344129554655867E-2</v>
      </c>
      <c r="F30" s="152">
        <f t="shared" si="4"/>
        <v>3376.4463157894734</v>
      </c>
    </row>
    <row r="31" spans="1:9" x14ac:dyDescent="0.3">
      <c r="A31" s="20" t="s">
        <v>132</v>
      </c>
      <c r="B31" s="140">
        <f>50*12</f>
        <v>600</v>
      </c>
      <c r="C31" s="141" t="s">
        <v>143</v>
      </c>
      <c r="D31" s="152">
        <f t="shared" si="5"/>
        <v>1.5789473684210527E-2</v>
      </c>
      <c r="E31" s="185">
        <f t="shared" si="6"/>
        <v>8.0971659919028341E-3</v>
      </c>
      <c r="F31" s="152">
        <f t="shared" si="4"/>
        <v>602.93684210526317</v>
      </c>
    </row>
    <row r="32" spans="1:9" x14ac:dyDescent="0.3">
      <c r="A32" s="20" t="s">
        <v>133</v>
      </c>
      <c r="B32" s="140">
        <f>140*12*12</f>
        <v>20160</v>
      </c>
      <c r="C32" s="141" t="s">
        <v>136</v>
      </c>
      <c r="D32" s="152">
        <f t="shared" si="5"/>
        <v>0.53052631578947373</v>
      </c>
      <c r="E32" s="185">
        <f t="shared" si="6"/>
        <v>0.27206477732793527</v>
      </c>
      <c r="F32" s="152">
        <f t="shared" si="4"/>
        <v>20258.677894736844</v>
      </c>
    </row>
    <row r="33" spans="1:9" x14ac:dyDescent="0.3">
      <c r="A33" s="20" t="s">
        <v>137</v>
      </c>
      <c r="B33" s="34">
        <f>(74100/38000-SUM(B27:B32)/38000)*38000</f>
        <v>1609.8999999999908</v>
      </c>
      <c r="C33" s="141" t="s">
        <v>138</v>
      </c>
      <c r="D33" s="152">
        <f t="shared" si="5"/>
        <v>4.2365789473683968E-2</v>
      </c>
      <c r="E33" s="185">
        <f t="shared" si="6"/>
        <v>2.1726045883940497E-2</v>
      </c>
      <c r="F33" s="152">
        <f t="shared" si="4"/>
        <v>1617.780036842096</v>
      </c>
    </row>
    <row r="34" spans="1:9" ht="17.5" x14ac:dyDescent="0.3">
      <c r="A34" s="76" t="s">
        <v>7</v>
      </c>
      <c r="B34" s="77">
        <f>+SUM(B27:B33)</f>
        <v>74100</v>
      </c>
      <c r="D34" s="33">
        <f>+SUM(B27:B33)/38000</f>
        <v>1.95</v>
      </c>
      <c r="E34" s="26" t="s">
        <v>39</v>
      </c>
      <c r="F34" s="28"/>
      <c r="G34" s="28"/>
    </row>
    <row r="35" spans="1:9" ht="18" thickBot="1" x14ac:dyDescent="0.4">
      <c r="A35" s="158"/>
      <c r="B35" s="158"/>
      <c r="C35" s="158"/>
      <c r="D35" s="158"/>
      <c r="E35" s="158"/>
      <c r="F35" s="158"/>
      <c r="G35" s="158"/>
    </row>
    <row r="36" spans="1:9" ht="15" x14ac:dyDescent="0.3">
      <c r="A36" s="105" t="s">
        <v>3</v>
      </c>
      <c r="B36" s="106"/>
      <c r="C36" s="106" t="s">
        <v>4</v>
      </c>
      <c r="D36" s="106" t="s">
        <v>5</v>
      </c>
      <c r="E36" s="4" t="s">
        <v>85</v>
      </c>
      <c r="F36" s="106" t="s">
        <v>6</v>
      </c>
      <c r="G36" s="107" t="s">
        <v>7</v>
      </c>
    </row>
    <row r="37" spans="1:9" ht="14.5" thickBot="1" x14ac:dyDescent="0.35">
      <c r="A37" s="108">
        <v>1</v>
      </c>
      <c r="B37" s="109"/>
      <c r="C37" s="109">
        <v>2</v>
      </c>
      <c r="D37" s="109">
        <v>3</v>
      </c>
      <c r="E37" s="110">
        <v>4</v>
      </c>
      <c r="F37" s="109">
        <v>5</v>
      </c>
      <c r="G37" s="111">
        <v>6</v>
      </c>
    </row>
    <row r="38" spans="1:9" ht="18" thickTop="1" thickBot="1" x14ac:dyDescent="0.35">
      <c r="A38" s="130">
        <v>44501</v>
      </c>
      <c r="B38" s="131"/>
      <c r="C38" s="132" t="s">
        <v>127</v>
      </c>
      <c r="D38" s="133" t="s">
        <v>128</v>
      </c>
      <c r="E38" s="134">
        <v>38186</v>
      </c>
      <c r="F38" s="135">
        <v>1.95</v>
      </c>
      <c r="G38" s="136">
        <f t="shared" ref="G38" si="7">ROUND(E38*F38,2)</f>
        <v>74462.7</v>
      </c>
    </row>
    <row r="39" spans="1:9" x14ac:dyDescent="0.3">
      <c r="A39" s="153"/>
      <c r="B39" s="153"/>
      <c r="C39" s="154"/>
      <c r="D39" s="153"/>
      <c r="E39" s="155"/>
      <c r="F39" s="156"/>
      <c r="G39" s="157"/>
    </row>
    <row r="40" spans="1:9" x14ac:dyDescent="0.3">
      <c r="A40" s="125"/>
      <c r="B40" s="125"/>
      <c r="C40" s="125"/>
      <c r="D40" s="104" t="s">
        <v>119</v>
      </c>
      <c r="E40" s="104" t="s">
        <v>120</v>
      </c>
      <c r="F40" s="125"/>
      <c r="G40" s="125"/>
    </row>
    <row r="41" spans="1:9" x14ac:dyDescent="0.3">
      <c r="A41" s="86" t="s">
        <v>65</v>
      </c>
      <c r="B41" s="86" t="s">
        <v>121</v>
      </c>
      <c r="C41" s="86" t="s">
        <v>122</v>
      </c>
      <c r="D41" s="86" t="s">
        <v>123</v>
      </c>
      <c r="E41" s="86" t="s">
        <v>123</v>
      </c>
      <c r="F41" s="86" t="s">
        <v>124</v>
      </c>
      <c r="G41" s="86" t="s">
        <v>92</v>
      </c>
    </row>
    <row r="42" spans="1:9" x14ac:dyDescent="0.3">
      <c r="A42" s="126" t="s">
        <v>125</v>
      </c>
      <c r="B42" s="86">
        <f>2864.1+819.7</f>
        <v>3683.8</v>
      </c>
      <c r="C42" s="86">
        <v>90</v>
      </c>
      <c r="D42" s="127">
        <v>8.3000000000000004E-2</v>
      </c>
      <c r="E42" s="128">
        <v>9.1999999999999998E-2</v>
      </c>
      <c r="F42" s="127">
        <f>+E42-D42</f>
        <v>8.9999999999999941E-3</v>
      </c>
      <c r="G42" s="34">
        <f>+ROUND(B42*C42*F42,2)</f>
        <v>2983.88</v>
      </c>
      <c r="H42" s="202" t="s">
        <v>236</v>
      </c>
      <c r="I42" s="202" t="s">
        <v>237</v>
      </c>
    </row>
    <row r="43" spans="1:9" x14ac:dyDescent="0.3">
      <c r="F43" s="137" t="s">
        <v>241</v>
      </c>
      <c r="G43" s="138">
        <f>G42</f>
        <v>2983.88</v>
      </c>
    </row>
    <row r="44" spans="1:9" ht="28" x14ac:dyDescent="0.3">
      <c r="F44" s="199" t="s">
        <v>240</v>
      </c>
      <c r="G44" s="64">
        <f>+G43/(B42*C42*D42)</f>
        <v>0.10843380761949657</v>
      </c>
    </row>
  </sheetData>
  <mergeCells count="4">
    <mergeCell ref="C2:D2"/>
    <mergeCell ref="A3:G3"/>
    <mergeCell ref="A24:G24"/>
    <mergeCell ref="A25:G25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C57C-02DF-4F32-A593-120C297C54D7}">
  <dimension ref="A1:K121"/>
  <sheetViews>
    <sheetView tabSelected="1" zoomScale="70" zoomScaleNormal="70" workbookViewId="0">
      <selection activeCell="D98" sqref="D98:D102"/>
    </sheetView>
  </sheetViews>
  <sheetFormatPr defaultRowHeight="14.5" x14ac:dyDescent="0.35"/>
  <cols>
    <col min="1" max="1" width="47.6328125" bestFit="1" customWidth="1"/>
    <col min="2" max="2" width="44.1796875" customWidth="1"/>
    <col min="3" max="3" width="54.36328125" bestFit="1" customWidth="1"/>
    <col min="4" max="4" width="26.453125" bestFit="1" customWidth="1"/>
    <col min="5" max="5" width="47.36328125" bestFit="1" customWidth="1"/>
    <col min="6" max="6" width="46.08984375" bestFit="1" customWidth="1"/>
    <col min="7" max="7" width="30.08984375" bestFit="1" customWidth="1"/>
    <col min="8" max="8" width="32" bestFit="1" customWidth="1"/>
    <col min="9" max="9" width="19" bestFit="1" customWidth="1"/>
    <col min="10" max="10" width="32" bestFit="1" customWidth="1"/>
    <col min="11" max="11" width="19" bestFit="1" customWidth="1"/>
    <col min="12" max="12" width="47.36328125" bestFit="1" customWidth="1"/>
  </cols>
  <sheetData>
    <row r="1" spans="1:11" x14ac:dyDescent="0.35">
      <c r="A1" s="62" t="s">
        <v>83</v>
      </c>
      <c r="B1" s="1" t="s">
        <v>174</v>
      </c>
    </row>
    <row r="2" spans="1:11" x14ac:dyDescent="0.35">
      <c r="A2" s="102" t="s">
        <v>144</v>
      </c>
      <c r="B2" s="102"/>
      <c r="C2" s="103"/>
      <c r="D2" s="213"/>
      <c r="E2" s="213"/>
      <c r="F2" s="101"/>
      <c r="G2" s="101"/>
      <c r="H2" s="104"/>
    </row>
    <row r="3" spans="1:11" x14ac:dyDescent="0.35">
      <c r="A3" s="63" t="s">
        <v>90</v>
      </c>
      <c r="B3" s="104" t="s">
        <v>161</v>
      </c>
      <c r="C3" s="171"/>
      <c r="D3" s="172"/>
      <c r="E3" s="172"/>
      <c r="F3" s="101"/>
    </row>
    <row r="4" spans="1:11" ht="16" x14ac:dyDescent="0.35">
      <c r="A4" s="166" t="s">
        <v>64</v>
      </c>
      <c r="B4" s="166" t="s">
        <v>3</v>
      </c>
      <c r="C4" s="86" t="s">
        <v>65</v>
      </c>
      <c r="D4" s="86" t="s">
        <v>163</v>
      </c>
      <c r="E4" s="86" t="s">
        <v>91</v>
      </c>
      <c r="F4" s="101"/>
    </row>
    <row r="5" spans="1:11" s="25" customFormat="1" ht="15.65" customHeight="1" x14ac:dyDescent="0.3">
      <c r="A5" s="173" t="s">
        <v>155</v>
      </c>
      <c r="B5" s="166" t="s">
        <v>145</v>
      </c>
      <c r="C5" s="126" t="s">
        <v>93</v>
      </c>
      <c r="D5" s="17">
        <v>3503</v>
      </c>
      <c r="E5" s="187">
        <v>2</v>
      </c>
      <c r="F5" s="101"/>
    </row>
    <row r="6" spans="1:11" s="25" customFormat="1" x14ac:dyDescent="0.3">
      <c r="A6" s="168" t="s">
        <v>156</v>
      </c>
      <c r="B6" s="166" t="s">
        <v>145</v>
      </c>
      <c r="C6" s="126" t="s">
        <v>93</v>
      </c>
      <c r="D6" s="17">
        <v>1694</v>
      </c>
      <c r="E6" s="187">
        <v>2</v>
      </c>
      <c r="F6" s="101"/>
    </row>
    <row r="7" spans="1:11" s="25" customFormat="1" x14ac:dyDescent="0.3">
      <c r="A7" s="217" t="s">
        <v>157</v>
      </c>
      <c r="B7" s="166" t="s">
        <v>145</v>
      </c>
      <c r="C7" s="126" t="s">
        <v>94</v>
      </c>
      <c r="D7" s="17">
        <v>1903</v>
      </c>
      <c r="E7" s="187">
        <v>1</v>
      </c>
      <c r="F7" s="101"/>
    </row>
    <row r="8" spans="1:11" s="25" customFormat="1" x14ac:dyDescent="0.3">
      <c r="A8" s="218"/>
      <c r="B8" s="166" t="s">
        <v>146</v>
      </c>
      <c r="C8" s="126" t="s">
        <v>93</v>
      </c>
      <c r="D8" s="17">
        <v>13186</v>
      </c>
      <c r="E8" s="187">
        <v>10</v>
      </c>
    </row>
    <row r="9" spans="1:11" s="25" customFormat="1" ht="15.65" customHeight="1" x14ac:dyDescent="0.3">
      <c r="A9" s="214" t="s">
        <v>158</v>
      </c>
      <c r="B9" s="166" t="s">
        <v>147</v>
      </c>
      <c r="C9" s="126" t="s">
        <v>93</v>
      </c>
      <c r="D9" s="17">
        <v>1833</v>
      </c>
      <c r="E9" s="187">
        <v>1</v>
      </c>
    </row>
    <row r="10" spans="1:11" s="25" customFormat="1" x14ac:dyDescent="0.3">
      <c r="A10" s="215"/>
      <c r="B10" s="166" t="s">
        <v>145</v>
      </c>
      <c r="C10" s="126" t="s">
        <v>94</v>
      </c>
      <c r="D10" s="17">
        <v>1455</v>
      </c>
      <c r="E10" s="187">
        <v>1</v>
      </c>
    </row>
    <row r="11" spans="1:11" s="25" customFormat="1" x14ac:dyDescent="0.3">
      <c r="A11" s="215"/>
      <c r="B11" s="166" t="s">
        <v>146</v>
      </c>
      <c r="C11" s="126" t="s">
        <v>95</v>
      </c>
      <c r="D11" s="17">
        <v>232</v>
      </c>
      <c r="E11" s="188">
        <v>0.5</v>
      </c>
    </row>
    <row r="12" spans="1:11" s="25" customFormat="1" x14ac:dyDescent="0.3">
      <c r="A12" s="215"/>
      <c r="B12" s="166" t="s">
        <v>148</v>
      </c>
      <c r="C12" s="126" t="s">
        <v>96</v>
      </c>
      <c r="D12" s="17">
        <v>64</v>
      </c>
      <c r="E12" s="188">
        <v>0.5</v>
      </c>
    </row>
    <row r="13" spans="1:11" s="25" customFormat="1" x14ac:dyDescent="0.3">
      <c r="A13" s="216"/>
      <c r="B13" s="166" t="s">
        <v>149</v>
      </c>
      <c r="C13" s="126" t="s">
        <v>97</v>
      </c>
      <c r="D13" s="17">
        <v>1270</v>
      </c>
      <c r="E13" s="187">
        <v>1</v>
      </c>
    </row>
    <row r="14" spans="1:11" x14ac:dyDescent="0.35">
      <c r="E14" s="189">
        <f>+SUM(E5:E13)</f>
        <v>19</v>
      </c>
    </row>
    <row r="15" spans="1:11" ht="16.5" x14ac:dyDescent="0.35">
      <c r="A15" s="101" t="s">
        <v>160</v>
      </c>
      <c r="B15" s="104" t="s">
        <v>159</v>
      </c>
      <c r="C15" s="61">
        <v>4000</v>
      </c>
      <c r="D15" s="161" t="s">
        <v>1</v>
      </c>
    </row>
    <row r="16" spans="1:11" x14ac:dyDescent="0.35">
      <c r="A16" s="165" t="s">
        <v>155</v>
      </c>
      <c r="B16" s="166" t="s">
        <v>145</v>
      </c>
      <c r="C16" s="126" t="s">
        <v>93</v>
      </c>
      <c r="D16" s="104"/>
      <c r="E16" s="149" t="s">
        <v>208</v>
      </c>
      <c r="F16" s="161"/>
      <c r="G16" s="73"/>
      <c r="H16" s="219" t="s">
        <v>207</v>
      </c>
      <c r="I16" s="219"/>
      <c r="J16" s="219"/>
      <c r="K16" s="219"/>
    </row>
    <row r="17" spans="1:11" ht="16.5" x14ac:dyDescent="0.35">
      <c r="A17" s="17" t="s">
        <v>11</v>
      </c>
      <c r="B17" s="17" t="s">
        <v>12</v>
      </c>
      <c r="C17" s="19" t="s">
        <v>14</v>
      </c>
      <c r="D17" s="19" t="s">
        <v>40</v>
      </c>
      <c r="E17" s="19" t="s">
        <v>15</v>
      </c>
    </row>
    <row r="18" spans="1:11" x14ac:dyDescent="0.35">
      <c r="A18" s="167" t="s">
        <v>189</v>
      </c>
      <c r="B18" s="70">
        <v>9131.2872405773214</v>
      </c>
      <c r="C18" s="34">
        <f>+B18/4000</f>
        <v>2.2828218101443305</v>
      </c>
      <c r="D18" s="27">
        <f>B18/$B$23</f>
        <v>0.13218423915137986</v>
      </c>
      <c r="E18" s="21">
        <f>+C18*$D$5</f>
        <v>7996.7248009355899</v>
      </c>
    </row>
    <row r="19" spans="1:11" x14ac:dyDescent="0.35">
      <c r="A19" s="167" t="s">
        <v>190</v>
      </c>
      <c r="B19" s="70">
        <v>9475.4113157716001</v>
      </c>
      <c r="C19" s="34">
        <f t="shared" ref="C19:C21" si="0">+B19/4000</f>
        <v>2.3688528289429001</v>
      </c>
      <c r="D19" s="27">
        <f>B19/$B$23</f>
        <v>0.13716576890231036</v>
      </c>
      <c r="E19" s="21">
        <f t="shared" ref="E19:E22" si="1">+C19*$D$5</f>
        <v>8298.0914597869796</v>
      </c>
    </row>
    <row r="20" spans="1:11" ht="16.5" x14ac:dyDescent="0.35">
      <c r="A20" s="167" t="s">
        <v>206</v>
      </c>
      <c r="B20" s="70">
        <f>69080-B18-B19-B21-B22</f>
        <v>4833.7014436510726</v>
      </c>
      <c r="C20" s="34">
        <f t="shared" si="0"/>
        <v>1.2084253609127682</v>
      </c>
      <c r="D20" s="27">
        <f>B20/$B$23</f>
        <v>6.9972516555458497E-2</v>
      </c>
      <c r="E20" s="21">
        <f t="shared" si="1"/>
        <v>4233.1140392774269</v>
      </c>
      <c r="G20" s="190" t="s">
        <v>1</v>
      </c>
      <c r="H20" s="167" t="s">
        <v>187</v>
      </c>
      <c r="I20" s="190" t="s">
        <v>1</v>
      </c>
      <c r="J20" s="167" t="s">
        <v>187</v>
      </c>
      <c r="K20" s="86" t="s">
        <v>188</v>
      </c>
    </row>
    <row r="21" spans="1:11" x14ac:dyDescent="0.35">
      <c r="A21" s="167" t="s">
        <v>191</v>
      </c>
      <c r="B21" s="159">
        <f>49*9*3*2</f>
        <v>2646</v>
      </c>
      <c r="C21" s="34">
        <f t="shared" si="0"/>
        <v>0.66149999999999998</v>
      </c>
      <c r="D21" s="27">
        <f>B21/$B$23</f>
        <v>3.8303416328894037E-2</v>
      </c>
      <c r="E21" s="21">
        <f>+C21*$D$5</f>
        <v>2317.2345</v>
      </c>
      <c r="F21" s="164"/>
      <c r="G21" s="98">
        <v>4000</v>
      </c>
      <c r="H21" s="159">
        <f>54*9*3*2</f>
        <v>2916</v>
      </c>
      <c r="I21" s="98">
        <v>3503</v>
      </c>
      <c r="J21" s="186">
        <f>+H21*I21/G21</f>
        <v>2553.6869999999999</v>
      </c>
      <c r="K21" s="21">
        <f>+J21-E21</f>
        <v>236.45249999999987</v>
      </c>
    </row>
    <row r="22" spans="1:11" x14ac:dyDescent="0.35">
      <c r="A22" s="167" t="s">
        <v>192</v>
      </c>
      <c r="B22" s="170">
        <f>+C15*0.06*2.6*68.9</f>
        <v>42993.600000000006</v>
      </c>
      <c r="C22" s="34">
        <f>69080/4000-SUM(C18:C21)</f>
        <v>10.7484</v>
      </c>
      <c r="D22" s="27">
        <f>B22/$B$23</f>
        <v>0.6223740590619572</v>
      </c>
      <c r="E22" s="21">
        <f t="shared" si="1"/>
        <v>37651.645199999999</v>
      </c>
      <c r="G22" s="73"/>
    </row>
    <row r="23" spans="1:11" ht="16.5" x14ac:dyDescent="0.35">
      <c r="A23" s="76" t="s">
        <v>7</v>
      </c>
      <c r="B23" s="77">
        <f>+SUM(B18:B22)</f>
        <v>69080</v>
      </c>
      <c r="C23" s="74">
        <f>+SUM(C18:C22)</f>
        <v>17.27</v>
      </c>
      <c r="D23" s="75" t="s">
        <v>39</v>
      </c>
      <c r="E23" s="34">
        <f>+SUM(E18:E22)</f>
        <v>60496.81</v>
      </c>
    </row>
    <row r="24" spans="1:11" x14ac:dyDescent="0.35">
      <c r="A24" s="102"/>
      <c r="B24" s="162"/>
      <c r="C24" s="163"/>
      <c r="D24" s="161"/>
      <c r="E24" s="148"/>
    </row>
    <row r="25" spans="1:11" ht="16.5" x14ac:dyDescent="0.35">
      <c r="A25" s="101" t="s">
        <v>160</v>
      </c>
      <c r="B25" s="104" t="s">
        <v>159</v>
      </c>
      <c r="C25" s="61">
        <v>3700</v>
      </c>
      <c r="D25" s="161" t="s">
        <v>1</v>
      </c>
    </row>
    <row r="26" spans="1:11" x14ac:dyDescent="0.35">
      <c r="A26" s="168" t="s">
        <v>156</v>
      </c>
      <c r="B26" s="166" t="s">
        <v>145</v>
      </c>
      <c r="C26" s="126" t="s">
        <v>93</v>
      </c>
      <c r="D26" s="104"/>
      <c r="E26" s="61"/>
      <c r="F26" s="161"/>
    </row>
    <row r="27" spans="1:11" ht="16.5" x14ac:dyDescent="0.35">
      <c r="A27" s="17" t="s">
        <v>11</v>
      </c>
      <c r="B27" s="17" t="s">
        <v>12</v>
      </c>
      <c r="C27" s="19" t="s">
        <v>14</v>
      </c>
      <c r="D27" s="19" t="s">
        <v>40</v>
      </c>
      <c r="E27" s="19" t="s">
        <v>15</v>
      </c>
    </row>
    <row r="28" spans="1:11" x14ac:dyDescent="0.35">
      <c r="A28" s="167" t="s">
        <v>189</v>
      </c>
      <c r="B28" s="70">
        <f>2926*3</f>
        <v>8778</v>
      </c>
      <c r="C28" s="34">
        <f>+B28/3700</f>
        <v>2.3724324324324324</v>
      </c>
      <c r="D28" s="27">
        <f>B28/$B$33</f>
        <v>0.1396369883715381</v>
      </c>
      <c r="E28" s="21">
        <f>+C28*$D$6</f>
        <v>4018.9005405405405</v>
      </c>
    </row>
    <row r="29" spans="1:11" x14ac:dyDescent="0.35">
      <c r="A29" s="167" t="s">
        <v>190</v>
      </c>
      <c r="B29" s="70">
        <f>2853.6*3</f>
        <v>8560.7999999999993</v>
      </c>
      <c r="C29" s="34">
        <f t="shared" ref="C29:C30" si="2">+B29/3700</f>
        <v>2.3137297297297295</v>
      </c>
      <c r="D29" s="27">
        <f t="shared" ref="D29:D32" si="3">B29/$B$33</f>
        <v>0.13618185578162034</v>
      </c>
      <c r="E29" s="21">
        <f t="shared" ref="E29:E32" si="4">+C29*$D$6</f>
        <v>3919.4581621621619</v>
      </c>
    </row>
    <row r="30" spans="1:11" ht="16.5" x14ac:dyDescent="0.35">
      <c r="A30" s="167" t="s">
        <v>206</v>
      </c>
      <c r="B30" s="70">
        <f>62863-B28-B29-B31-B32</f>
        <v>3109.1199999999881</v>
      </c>
      <c r="C30" s="34">
        <f t="shared" si="2"/>
        <v>0.84030270270269947</v>
      </c>
      <c r="D30" s="27">
        <f t="shared" si="3"/>
        <v>4.9458664079028811E-2</v>
      </c>
      <c r="E30" s="21">
        <f t="shared" si="4"/>
        <v>1423.4727783783728</v>
      </c>
      <c r="G30" s="190" t="s">
        <v>1</v>
      </c>
      <c r="H30" s="167" t="s">
        <v>187</v>
      </c>
      <c r="I30" s="190" t="s">
        <v>1</v>
      </c>
      <c r="J30" s="167" t="s">
        <v>187</v>
      </c>
      <c r="K30" s="86" t="s">
        <v>188</v>
      </c>
    </row>
    <row r="31" spans="1:11" x14ac:dyDescent="0.35">
      <c r="A31" s="167" t="s">
        <v>191</v>
      </c>
      <c r="B31" s="159">
        <f>49*9*3*2</f>
        <v>2646</v>
      </c>
      <c r="C31" s="34">
        <f>+B31/3700</f>
        <v>0.71513513513513516</v>
      </c>
      <c r="D31" s="27">
        <f t="shared" si="3"/>
        <v>4.2091532379937326E-2</v>
      </c>
      <c r="E31" s="21">
        <f>+C31*$D$6</f>
        <v>1211.4389189189189</v>
      </c>
      <c r="F31" s="164"/>
      <c r="G31" s="98">
        <v>3700</v>
      </c>
      <c r="H31" s="159">
        <f>54*9*3*2</f>
        <v>2916</v>
      </c>
      <c r="I31" s="98">
        <v>1694</v>
      </c>
      <c r="J31" s="186">
        <f>+H31*I31/G31</f>
        <v>1335.0551351351351</v>
      </c>
      <c r="K31" s="21">
        <f>+J31-E31</f>
        <v>123.61621621621612</v>
      </c>
    </row>
    <row r="32" spans="1:11" x14ac:dyDescent="0.35">
      <c r="A32" s="167" t="s">
        <v>192</v>
      </c>
      <c r="B32" s="70">
        <f>3700*0.06*2.6*68.9</f>
        <v>39769.080000000009</v>
      </c>
      <c r="C32" s="34">
        <f>62863/3700-SUM(C28:C31)</f>
        <v>10.748400000000002</v>
      </c>
      <c r="D32" s="27">
        <f t="shared" si="3"/>
        <v>0.63263095938787539</v>
      </c>
      <c r="E32" s="21">
        <f t="shared" si="4"/>
        <v>18207.789600000004</v>
      </c>
    </row>
    <row r="33" spans="1:11" ht="16.5" x14ac:dyDescent="0.35">
      <c r="A33" s="76" t="s">
        <v>7</v>
      </c>
      <c r="B33" s="77">
        <f>+SUM(B28:B32)</f>
        <v>62863</v>
      </c>
      <c r="C33" s="74">
        <f>+SUM(C28:C32)</f>
        <v>16.989999999999998</v>
      </c>
      <c r="D33" s="75" t="s">
        <v>39</v>
      </c>
      <c r="E33" s="34">
        <f>+SUM(E28:E32)</f>
        <v>28781.059999999998</v>
      </c>
    </row>
    <row r="35" spans="1:11" ht="16.5" x14ac:dyDescent="0.35">
      <c r="A35" s="161" t="s">
        <v>160</v>
      </c>
      <c r="B35" s="104" t="s">
        <v>162</v>
      </c>
      <c r="C35" s="61">
        <v>2650</v>
      </c>
      <c r="D35" s="161" t="s">
        <v>1</v>
      </c>
    </row>
    <row r="36" spans="1:11" x14ac:dyDescent="0.35">
      <c r="A36" s="169" t="s">
        <v>157</v>
      </c>
      <c r="B36" s="166" t="s">
        <v>145</v>
      </c>
      <c r="C36" s="126" t="s">
        <v>94</v>
      </c>
      <c r="D36" s="104"/>
      <c r="E36" s="61"/>
      <c r="F36" s="161"/>
    </row>
    <row r="37" spans="1:11" ht="16.5" x14ac:dyDescent="0.35">
      <c r="A37" s="17" t="s">
        <v>11</v>
      </c>
      <c r="B37" s="17" t="s">
        <v>12</v>
      </c>
      <c r="C37" s="19" t="s">
        <v>14</v>
      </c>
      <c r="D37" s="19" t="s">
        <v>40</v>
      </c>
      <c r="E37" s="19" t="s">
        <v>15</v>
      </c>
    </row>
    <row r="38" spans="1:11" x14ac:dyDescent="0.35">
      <c r="A38" s="167" t="s">
        <v>152</v>
      </c>
      <c r="B38" s="70">
        <v>2926</v>
      </c>
      <c r="C38" s="34">
        <f>+B38/2650</f>
        <v>1.1041509433962264</v>
      </c>
      <c r="D38" s="27">
        <f>B38/$B$43</f>
        <v>9.185947948387907E-2</v>
      </c>
      <c r="E38" s="21">
        <f>+C38*$D$7</f>
        <v>2101.1992452830191</v>
      </c>
    </row>
    <row r="39" spans="1:11" x14ac:dyDescent="0.35">
      <c r="A39" s="167" t="s">
        <v>153</v>
      </c>
      <c r="B39" s="70">
        <v>3394.1</v>
      </c>
      <c r="C39" s="34">
        <f>+B39/2650</f>
        <v>1.2807924528301886</v>
      </c>
      <c r="D39" s="27">
        <f t="shared" ref="D39:D42" si="5">B39/$B$43</f>
        <v>0.1065551125482686</v>
      </c>
      <c r="E39" s="21">
        <f t="shared" ref="E39:E42" si="6">+C39*$D$7</f>
        <v>2437.3480377358487</v>
      </c>
    </row>
    <row r="40" spans="1:11" ht="16.5" x14ac:dyDescent="0.35">
      <c r="A40" s="167" t="s">
        <v>154</v>
      </c>
      <c r="B40" s="70">
        <v>940</v>
      </c>
      <c r="C40" s="34">
        <f>+B40/2650</f>
        <v>0.35471698113207545</v>
      </c>
      <c r="D40" s="27">
        <f t="shared" si="5"/>
        <v>2.9510564154082819E-2</v>
      </c>
      <c r="E40" s="21">
        <f t="shared" si="6"/>
        <v>675.02641509433954</v>
      </c>
      <c r="G40" s="190" t="s">
        <v>1</v>
      </c>
      <c r="H40" s="167" t="s">
        <v>187</v>
      </c>
      <c r="I40" s="190" t="s">
        <v>1</v>
      </c>
      <c r="J40" s="167" t="s">
        <v>187</v>
      </c>
      <c r="K40" s="86" t="s">
        <v>188</v>
      </c>
    </row>
    <row r="41" spans="1:11" x14ac:dyDescent="0.35">
      <c r="A41" s="167" t="s">
        <v>151</v>
      </c>
      <c r="B41" s="159">
        <f>4*10*49</f>
        <v>1960</v>
      </c>
      <c r="C41" s="34">
        <f>+B41/2650</f>
        <v>0.73962264150943391</v>
      </c>
      <c r="D41" s="27">
        <f t="shared" si="5"/>
        <v>6.1532665682981193E-2</v>
      </c>
      <c r="E41" s="21">
        <f t="shared" si="6"/>
        <v>1407.5018867924528</v>
      </c>
      <c r="F41" s="164"/>
      <c r="G41" s="98">
        <v>2650</v>
      </c>
      <c r="H41" s="159">
        <f>54*4*10</f>
        <v>2160</v>
      </c>
      <c r="I41" s="98">
        <v>1903</v>
      </c>
      <c r="J41" s="186">
        <f>+H41*I41/G41</f>
        <v>1551.1245283018868</v>
      </c>
      <c r="K41" s="21">
        <f>+J41-E41</f>
        <v>143.62264150943406</v>
      </c>
    </row>
    <row r="42" spans="1:11" x14ac:dyDescent="0.35">
      <c r="A42" s="167" t="s">
        <v>150</v>
      </c>
      <c r="B42" s="70">
        <f>+C42*2650</f>
        <v>22632.899999999998</v>
      </c>
      <c r="C42" s="34">
        <f>31853/2650-SUM(C38:C41)</f>
        <v>8.5407169811320749</v>
      </c>
      <c r="D42" s="27">
        <f t="shared" si="5"/>
        <v>0.71054217813078824</v>
      </c>
      <c r="E42" s="21">
        <f t="shared" si="6"/>
        <v>16252.984415094339</v>
      </c>
    </row>
    <row r="43" spans="1:11" ht="16.5" x14ac:dyDescent="0.35">
      <c r="A43" s="76" t="s">
        <v>7</v>
      </c>
      <c r="B43" s="77">
        <f>+SUM(B38:B42)</f>
        <v>31853</v>
      </c>
      <c r="C43" s="74">
        <f>+SUM(C38:C42)</f>
        <v>12.02</v>
      </c>
      <c r="D43" s="75" t="s">
        <v>39</v>
      </c>
      <c r="E43" s="34">
        <f>+SUM(E38:E42)</f>
        <v>22874.059999999998</v>
      </c>
    </row>
    <row r="45" spans="1:11" ht="16.5" x14ac:dyDescent="0.35">
      <c r="A45" s="161" t="s">
        <v>160</v>
      </c>
      <c r="B45" s="104" t="s">
        <v>205</v>
      </c>
      <c r="C45" s="98">
        <v>11100</v>
      </c>
      <c r="D45" s="161" t="s">
        <v>1</v>
      </c>
    </row>
    <row r="46" spans="1:11" x14ac:dyDescent="0.35">
      <c r="A46" s="169" t="s">
        <v>157</v>
      </c>
      <c r="B46" s="166" t="s">
        <v>146</v>
      </c>
      <c r="C46" s="126" t="s">
        <v>93</v>
      </c>
      <c r="D46" s="104"/>
      <c r="E46" s="61"/>
      <c r="F46" s="161"/>
    </row>
    <row r="47" spans="1:11" ht="16.5" x14ac:dyDescent="0.35">
      <c r="A47" s="17" t="s">
        <v>11</v>
      </c>
      <c r="B47" s="17" t="s">
        <v>12</v>
      </c>
      <c r="C47" s="19" t="s">
        <v>14</v>
      </c>
      <c r="D47" s="19" t="s">
        <v>40</v>
      </c>
      <c r="E47" s="19" t="s">
        <v>15</v>
      </c>
    </row>
    <row r="48" spans="1:11" x14ac:dyDescent="0.35">
      <c r="A48" s="167" t="s">
        <v>152</v>
      </c>
      <c r="B48" s="70">
        <f>2926*8</f>
        <v>23408</v>
      </c>
      <c r="C48" s="34">
        <f>+B48/11100</f>
        <v>2.108828828828829</v>
      </c>
      <c r="D48" s="27">
        <f>B48/$B$53</f>
        <v>0.12866557833000786</v>
      </c>
      <c r="E48" s="21">
        <f>+C48*$D$8</f>
        <v>27807.01693693694</v>
      </c>
    </row>
    <row r="49" spans="1:11" x14ac:dyDescent="0.35">
      <c r="A49" s="167" t="s">
        <v>153</v>
      </c>
      <c r="B49" s="70">
        <f>3024.73*8</f>
        <v>24197.84</v>
      </c>
      <c r="C49" s="34">
        <f t="shared" ref="C49:C51" si="7">+B49/11100</f>
        <v>2.1799855855855856</v>
      </c>
      <c r="D49" s="27">
        <f t="shared" ref="D49:D52" si="8">B49/$B$53</f>
        <v>0.13300705220168307</v>
      </c>
      <c r="E49" s="21">
        <f t="shared" ref="E49:E52" si="9">+C49*$D$8</f>
        <v>28745.289931531534</v>
      </c>
    </row>
    <row r="50" spans="1:11" ht="16.5" x14ac:dyDescent="0.35">
      <c r="A50" s="167" t="s">
        <v>206</v>
      </c>
      <c r="B50" s="70">
        <f>181929-B48-B49-B51-B52</f>
        <v>5607.9199999999837</v>
      </c>
      <c r="C50" s="34">
        <f t="shared" si="7"/>
        <v>0.50521801801801658</v>
      </c>
      <c r="D50" s="27">
        <f t="shared" si="8"/>
        <v>3.0824772301282277E-2</v>
      </c>
      <c r="E50" s="21">
        <f>+C50*$D$8</f>
        <v>6661.8047855855666</v>
      </c>
      <c r="G50" s="190" t="s">
        <v>1</v>
      </c>
      <c r="H50" s="167" t="s">
        <v>187</v>
      </c>
      <c r="I50" s="190" t="s">
        <v>1</v>
      </c>
      <c r="J50" s="167" t="s">
        <v>187</v>
      </c>
      <c r="K50" s="86" t="s">
        <v>188</v>
      </c>
    </row>
    <row r="51" spans="1:11" x14ac:dyDescent="0.35">
      <c r="A51" s="167" t="s">
        <v>151</v>
      </c>
      <c r="B51" s="159">
        <f>3*8*49*8</f>
        <v>9408</v>
      </c>
      <c r="C51" s="34">
        <f t="shared" si="7"/>
        <v>0.84756756756756757</v>
      </c>
      <c r="D51" s="27">
        <f t="shared" si="8"/>
        <v>5.1712481242682587E-2</v>
      </c>
      <c r="E51" s="21">
        <f>+C51*$D$8</f>
        <v>11176.025945945947</v>
      </c>
      <c r="F51" s="164"/>
      <c r="G51" s="98">
        <v>11100</v>
      </c>
      <c r="H51" s="159">
        <f>54*3*8*8</f>
        <v>10368</v>
      </c>
      <c r="I51" s="98">
        <v>13186</v>
      </c>
      <c r="J51" s="186">
        <f>+H51*I51/G51</f>
        <v>12316.436756756757</v>
      </c>
      <c r="K51" s="21">
        <f>+J51-E51</f>
        <v>1140.4108108108103</v>
      </c>
    </row>
    <row r="52" spans="1:11" x14ac:dyDescent="0.35">
      <c r="A52" s="167" t="s">
        <v>150</v>
      </c>
      <c r="B52" s="70">
        <f>11100*0.06*2.6*68.9</f>
        <v>119307.24000000002</v>
      </c>
      <c r="C52" s="34">
        <f>181929/11100-SUM(C48:C51)</f>
        <v>10.748400000000002</v>
      </c>
      <c r="D52" s="27">
        <f t="shared" si="8"/>
        <v>0.65579011592434422</v>
      </c>
      <c r="E52" s="21">
        <f t="shared" si="9"/>
        <v>141728.40240000002</v>
      </c>
    </row>
    <row r="53" spans="1:11" ht="16.5" x14ac:dyDescent="0.35">
      <c r="A53" s="76" t="s">
        <v>7</v>
      </c>
      <c r="B53" s="77">
        <f>+SUM(B48:B52)</f>
        <v>181929</v>
      </c>
      <c r="C53" s="74">
        <f>+SUM(C48:C52)</f>
        <v>16.39</v>
      </c>
      <c r="D53" s="75" t="s">
        <v>39</v>
      </c>
      <c r="E53" s="34">
        <f>+SUM(E48:E52)</f>
        <v>216118.54</v>
      </c>
    </row>
    <row r="55" spans="1:11" ht="16.5" x14ac:dyDescent="0.35">
      <c r="A55" s="161" t="s">
        <v>160</v>
      </c>
      <c r="B55" s="104" t="s">
        <v>162</v>
      </c>
      <c r="C55" s="98">
        <v>1833</v>
      </c>
      <c r="D55" s="161" t="s">
        <v>1</v>
      </c>
    </row>
    <row r="56" spans="1:11" x14ac:dyDescent="0.35">
      <c r="A56" s="174" t="s">
        <v>158</v>
      </c>
      <c r="B56" s="166" t="s">
        <v>147</v>
      </c>
      <c r="C56" s="126" t="s">
        <v>93</v>
      </c>
      <c r="D56" s="104"/>
      <c r="E56" s="61"/>
      <c r="F56" s="161"/>
    </row>
    <row r="57" spans="1:11" ht="16.5" x14ac:dyDescent="0.35">
      <c r="A57" s="17" t="s">
        <v>11</v>
      </c>
      <c r="B57" s="17" t="s">
        <v>12</v>
      </c>
      <c r="C57" s="19" t="s">
        <v>14</v>
      </c>
      <c r="D57" s="19" t="s">
        <v>40</v>
      </c>
      <c r="E57" s="19" t="s">
        <v>15</v>
      </c>
    </row>
    <row r="58" spans="1:11" x14ac:dyDescent="0.35">
      <c r="A58" s="167" t="s">
        <v>152</v>
      </c>
      <c r="B58" s="70">
        <f>2926</f>
        <v>2926</v>
      </c>
      <c r="C58" s="34">
        <f>+B58/1833</f>
        <v>1.5962902345881069</v>
      </c>
      <c r="D58" s="27">
        <f>B58/$B$63</f>
        <v>0.10325292591126177</v>
      </c>
      <c r="E58" s="21">
        <f>+C58*$D$9</f>
        <v>2926</v>
      </c>
    </row>
    <row r="59" spans="1:11" x14ac:dyDescent="0.35">
      <c r="A59" s="167" t="s">
        <v>153</v>
      </c>
      <c r="B59" s="70">
        <f>3419.97</f>
        <v>3419.97</v>
      </c>
      <c r="C59" s="34">
        <f>+B59/1833</f>
        <v>1.8657774140752863</v>
      </c>
      <c r="D59" s="27">
        <f t="shared" ref="D59:D62" si="10">B59/$B$63</f>
        <v>0.12068417943565889</v>
      </c>
      <c r="E59" s="21">
        <f t="shared" ref="E59:E62" si="11">+C59*$D$9</f>
        <v>3419.97</v>
      </c>
    </row>
    <row r="60" spans="1:11" ht="16.5" x14ac:dyDescent="0.35">
      <c r="A60" s="167" t="s">
        <v>154</v>
      </c>
      <c r="B60" s="70">
        <v>733.4</v>
      </c>
      <c r="C60" s="34">
        <f>+B60/1833</f>
        <v>0.40010911074740863</v>
      </c>
      <c r="D60" s="27">
        <f t="shared" si="10"/>
        <v>2.5880278832303275E-2</v>
      </c>
      <c r="E60" s="21">
        <f t="shared" si="11"/>
        <v>733.4</v>
      </c>
      <c r="G60" s="190" t="s">
        <v>1</v>
      </c>
      <c r="H60" s="167" t="s">
        <v>187</v>
      </c>
      <c r="I60" s="190" t="s">
        <v>1</v>
      </c>
      <c r="J60" s="167" t="s">
        <v>187</v>
      </c>
      <c r="K60" s="86" t="s">
        <v>188</v>
      </c>
    </row>
    <row r="61" spans="1:11" x14ac:dyDescent="0.35">
      <c r="A61" s="167" t="s">
        <v>151</v>
      </c>
      <c r="B61" s="159">
        <f>3*10*49</f>
        <v>1470</v>
      </c>
      <c r="C61" s="34">
        <f>+B61/1833</f>
        <v>0.80196399345335512</v>
      </c>
      <c r="D61" s="27">
        <f t="shared" si="10"/>
        <v>5.1873479524796581E-2</v>
      </c>
      <c r="E61" s="21">
        <f t="shared" si="11"/>
        <v>1470</v>
      </c>
      <c r="F61" s="164"/>
      <c r="G61" s="98">
        <v>1833</v>
      </c>
      <c r="H61" s="159">
        <f>3*10*54</f>
        <v>1620</v>
      </c>
      <c r="I61" s="98">
        <v>1833</v>
      </c>
      <c r="J61" s="186">
        <f>+H61*I61/G61</f>
        <v>1620</v>
      </c>
      <c r="K61" s="21">
        <f>+J61-E61</f>
        <v>150</v>
      </c>
    </row>
    <row r="62" spans="1:11" x14ac:dyDescent="0.35">
      <c r="A62" s="167" t="s">
        <v>150</v>
      </c>
      <c r="B62" s="70">
        <f>+C62*1833</f>
        <v>19788.810000000001</v>
      </c>
      <c r="C62" s="34">
        <f>28338.18/1833-SUM(C58:C61)</f>
        <v>10.795859247135844</v>
      </c>
      <c r="D62" s="27">
        <f t="shared" si="10"/>
        <v>0.69830913629597957</v>
      </c>
      <c r="E62" s="21">
        <f t="shared" si="11"/>
        <v>19788.810000000001</v>
      </c>
    </row>
    <row r="63" spans="1:11" ht="16.5" x14ac:dyDescent="0.35">
      <c r="A63" s="76" t="s">
        <v>7</v>
      </c>
      <c r="B63" s="77">
        <f>+SUM(B58:B62)</f>
        <v>28338.18</v>
      </c>
      <c r="C63" s="74">
        <f>+SUM(C58:C62)</f>
        <v>15.46</v>
      </c>
      <c r="D63" s="75" t="s">
        <v>39</v>
      </c>
      <c r="E63" s="34">
        <f>+SUM(E58:E62)</f>
        <v>28338.18</v>
      </c>
    </row>
    <row r="65" spans="1:11" ht="16.5" x14ac:dyDescent="0.35">
      <c r="A65" s="161" t="s">
        <v>160</v>
      </c>
      <c r="B65" s="104" t="s">
        <v>162</v>
      </c>
      <c r="C65" s="98">
        <v>1455</v>
      </c>
      <c r="D65" s="161" t="s">
        <v>1</v>
      </c>
    </row>
    <row r="66" spans="1:11" x14ac:dyDescent="0.35">
      <c r="A66" s="174" t="s">
        <v>158</v>
      </c>
      <c r="B66" s="166" t="s">
        <v>145</v>
      </c>
      <c r="C66" s="126" t="s">
        <v>94</v>
      </c>
      <c r="D66" s="104"/>
      <c r="E66" s="61"/>
      <c r="F66" s="161"/>
    </row>
    <row r="67" spans="1:11" ht="16.5" x14ac:dyDescent="0.35">
      <c r="A67" s="17" t="s">
        <v>11</v>
      </c>
      <c r="B67" s="17" t="s">
        <v>12</v>
      </c>
      <c r="C67" s="19" t="s">
        <v>14</v>
      </c>
      <c r="D67" s="19" t="s">
        <v>40</v>
      </c>
      <c r="E67" s="19" t="s">
        <v>15</v>
      </c>
    </row>
    <row r="68" spans="1:11" x14ac:dyDescent="0.35">
      <c r="A68" s="167" t="s">
        <v>152</v>
      </c>
      <c r="B68" s="70">
        <f>2926</f>
        <v>2926</v>
      </c>
      <c r="C68" s="34">
        <f>+B68/1455</f>
        <v>2.0109965635738831</v>
      </c>
      <c r="D68" s="27">
        <f>B68/$B$73</f>
        <v>0.13965253913707523</v>
      </c>
      <c r="E68" s="21">
        <f>+C68*$D$10</f>
        <v>2926</v>
      </c>
    </row>
    <row r="69" spans="1:11" x14ac:dyDescent="0.35">
      <c r="A69" s="167" t="s">
        <v>153</v>
      </c>
      <c r="B69" s="70">
        <v>3024.8</v>
      </c>
      <c r="C69" s="34">
        <f t="shared" ref="C69:C71" si="12">+B69/1455</f>
        <v>2.0789003436426117</v>
      </c>
      <c r="D69" s="27">
        <f t="shared" ref="D69:D72" si="13">B69/$B$73</f>
        <v>0.14436807941962582</v>
      </c>
      <c r="E69" s="21">
        <f t="shared" ref="E69:E72" si="14">+C69*$D$10</f>
        <v>3024.8</v>
      </c>
    </row>
    <row r="70" spans="1:11" ht="16.5" x14ac:dyDescent="0.35">
      <c r="A70" s="167" t="s">
        <v>154</v>
      </c>
      <c r="B70" s="70">
        <v>689</v>
      </c>
      <c r="C70" s="34">
        <f t="shared" si="12"/>
        <v>0.47353951890034363</v>
      </c>
      <c r="D70" s="27">
        <f t="shared" si="13"/>
        <v>3.2884688812523863E-2</v>
      </c>
      <c r="E70" s="21">
        <f t="shared" si="14"/>
        <v>689</v>
      </c>
      <c r="G70" s="190" t="s">
        <v>1</v>
      </c>
      <c r="H70" s="167" t="s">
        <v>187</v>
      </c>
      <c r="I70" s="190" t="s">
        <v>1</v>
      </c>
      <c r="J70" s="167" t="s">
        <v>187</v>
      </c>
      <c r="K70" s="86" t="s">
        <v>188</v>
      </c>
    </row>
    <row r="71" spans="1:11" x14ac:dyDescent="0.35">
      <c r="A71" s="167" t="s">
        <v>151</v>
      </c>
      <c r="B71" s="159">
        <f>3*10*49</f>
        <v>1470</v>
      </c>
      <c r="C71" s="34">
        <f t="shared" si="12"/>
        <v>1.0103092783505154</v>
      </c>
      <c r="D71" s="27">
        <f t="shared" si="13"/>
        <v>7.016036655211913E-2</v>
      </c>
      <c r="E71" s="21">
        <f t="shared" si="14"/>
        <v>1470</v>
      </c>
      <c r="F71" s="164"/>
      <c r="G71" s="98">
        <v>1455</v>
      </c>
      <c r="H71" s="159">
        <f>3*10*54</f>
        <v>1620</v>
      </c>
      <c r="I71" s="98">
        <v>1455</v>
      </c>
      <c r="J71" s="186">
        <f>+H71*I71/G71</f>
        <v>1620</v>
      </c>
      <c r="K71" s="21">
        <f>+J71-E71</f>
        <v>150</v>
      </c>
    </row>
    <row r="72" spans="1:11" x14ac:dyDescent="0.35">
      <c r="A72" s="167" t="s">
        <v>150</v>
      </c>
      <c r="B72" s="70">
        <f>+C72*1455</f>
        <v>12842.2</v>
      </c>
      <c r="C72" s="34">
        <f>20952/1455-SUM(C68:C71)</f>
        <v>8.826254295532646</v>
      </c>
      <c r="D72" s="27">
        <f t="shared" si="13"/>
        <v>0.61293432607865606</v>
      </c>
      <c r="E72" s="21">
        <f t="shared" si="14"/>
        <v>12842.2</v>
      </c>
    </row>
    <row r="73" spans="1:11" ht="16.5" x14ac:dyDescent="0.35">
      <c r="A73" s="76" t="s">
        <v>7</v>
      </c>
      <c r="B73" s="77">
        <f>+SUM(B68:B72)</f>
        <v>20952</v>
      </c>
      <c r="C73" s="74">
        <f>+SUM(C68:C72)</f>
        <v>14.4</v>
      </c>
      <c r="D73" s="75" t="s">
        <v>39</v>
      </c>
      <c r="E73" s="34">
        <f>+SUM(E68:E72)</f>
        <v>20952</v>
      </c>
    </row>
    <row r="75" spans="1:11" ht="16.5" x14ac:dyDescent="0.35">
      <c r="A75" s="161" t="s">
        <v>160</v>
      </c>
      <c r="B75" s="104" t="s">
        <v>162</v>
      </c>
      <c r="C75" s="98">
        <v>232</v>
      </c>
      <c r="D75" s="161" t="s">
        <v>1</v>
      </c>
    </row>
    <row r="76" spans="1:11" x14ac:dyDescent="0.35">
      <c r="A76" s="174" t="s">
        <v>158</v>
      </c>
      <c r="B76" s="166" t="s">
        <v>146</v>
      </c>
      <c r="C76" s="126" t="s">
        <v>95</v>
      </c>
      <c r="D76" s="104"/>
      <c r="E76" s="61"/>
      <c r="F76" s="161"/>
    </row>
    <row r="77" spans="1:11" ht="16.5" x14ac:dyDescent="0.35">
      <c r="A77" s="17" t="s">
        <v>11</v>
      </c>
      <c r="B77" s="17" t="s">
        <v>12</v>
      </c>
      <c r="C77" s="19" t="s">
        <v>14</v>
      </c>
      <c r="D77" s="19" t="s">
        <v>40</v>
      </c>
      <c r="E77" s="19" t="s">
        <v>15</v>
      </c>
    </row>
    <row r="78" spans="1:11" x14ac:dyDescent="0.35">
      <c r="A78" s="167" t="s">
        <v>152</v>
      </c>
      <c r="B78" s="70">
        <f>2926*0.5</f>
        <v>1463</v>
      </c>
      <c r="C78" s="34">
        <f>+B78/232</f>
        <v>6.306034482758621</v>
      </c>
      <c r="D78" s="27">
        <f>B78/$B$83</f>
        <v>0.30000164047376882</v>
      </c>
      <c r="E78" s="21">
        <f>+C78*$D$11</f>
        <v>1463</v>
      </c>
    </row>
    <row r="79" spans="1:11" x14ac:dyDescent="0.35">
      <c r="A79" s="167" t="s">
        <v>153</v>
      </c>
      <c r="B79" s="70">
        <f>2663.8*0.5</f>
        <v>1331.9</v>
      </c>
      <c r="C79" s="34">
        <f t="shared" ref="C79:C81" si="15">+B79/232</f>
        <v>5.7409482758620696</v>
      </c>
      <c r="D79" s="27">
        <f t="shared" ref="D79:D82" si="16">B79/$B$83</f>
        <v>0.27311837658715837</v>
      </c>
      <c r="E79" s="21">
        <f t="shared" ref="E79:E82" si="17">+C79*$D$11</f>
        <v>1331.9</v>
      </c>
    </row>
    <row r="80" spans="1:11" ht="16.5" x14ac:dyDescent="0.35">
      <c r="A80" s="167" t="s">
        <v>154</v>
      </c>
      <c r="B80" s="70">
        <f>505.3*0.5</f>
        <v>252.65</v>
      </c>
      <c r="C80" s="34">
        <f t="shared" si="15"/>
        <v>1.0890086206896552</v>
      </c>
      <c r="D80" s="27">
        <f t="shared" si="16"/>
        <v>5.180821221168673E-2</v>
      </c>
      <c r="E80" s="21">
        <f t="shared" si="17"/>
        <v>252.65</v>
      </c>
      <c r="G80" s="190" t="s">
        <v>1</v>
      </c>
      <c r="H80" s="167" t="s">
        <v>187</v>
      </c>
      <c r="I80" s="190" t="s">
        <v>1</v>
      </c>
      <c r="J80" s="167" t="s">
        <v>187</v>
      </c>
      <c r="K80" s="86" t="s">
        <v>188</v>
      </c>
    </row>
    <row r="81" spans="1:11" x14ac:dyDescent="0.35">
      <c r="A81" s="167" t="s">
        <v>151</v>
      </c>
      <c r="B81" s="159">
        <f>49*12*0.5</f>
        <v>294</v>
      </c>
      <c r="C81" s="34">
        <f t="shared" si="15"/>
        <v>1.2672413793103448</v>
      </c>
      <c r="D81" s="27">
        <f t="shared" si="16"/>
        <v>6.028741100429804E-2</v>
      </c>
      <c r="E81" s="21">
        <f t="shared" si="17"/>
        <v>294</v>
      </c>
      <c r="F81" s="164"/>
      <c r="G81" s="98">
        <v>232</v>
      </c>
      <c r="H81" s="159">
        <f>54*12*0.5</f>
        <v>324</v>
      </c>
      <c r="I81" s="98">
        <v>232</v>
      </c>
      <c r="J81" s="186">
        <f>+H81*I81/G81</f>
        <v>324</v>
      </c>
      <c r="K81" s="21">
        <f>+J81-E81</f>
        <v>30</v>
      </c>
    </row>
    <row r="82" spans="1:11" x14ac:dyDescent="0.35">
      <c r="A82" s="167" t="s">
        <v>150</v>
      </c>
      <c r="B82" s="70">
        <f>+C82*232</f>
        <v>1535.0900000000004</v>
      </c>
      <c r="C82" s="34">
        <f>4876.64/232-SUM(C78:C81)</f>
        <v>6.6167672413793124</v>
      </c>
      <c r="D82" s="27">
        <f t="shared" si="16"/>
        <v>0.3147843597230881</v>
      </c>
      <c r="E82" s="21">
        <f t="shared" si="17"/>
        <v>1535.0900000000004</v>
      </c>
    </row>
    <row r="83" spans="1:11" ht="16.5" x14ac:dyDescent="0.35">
      <c r="A83" s="76" t="s">
        <v>7</v>
      </c>
      <c r="B83" s="77">
        <f>+SUM(B78:B82)</f>
        <v>4876.6400000000003</v>
      </c>
      <c r="C83" s="74">
        <f>+SUM(C78:C82)</f>
        <v>21.020000000000003</v>
      </c>
      <c r="D83" s="75" t="s">
        <v>39</v>
      </c>
      <c r="E83" s="34">
        <f>+SUM(E78:E82)</f>
        <v>4876.6400000000003</v>
      </c>
    </row>
    <row r="85" spans="1:11" ht="16.5" x14ac:dyDescent="0.35">
      <c r="A85" s="161" t="s">
        <v>160</v>
      </c>
      <c r="B85" s="104" t="s">
        <v>162</v>
      </c>
      <c r="C85" s="98">
        <v>250</v>
      </c>
      <c r="D85" s="161" t="s">
        <v>1</v>
      </c>
    </row>
    <row r="86" spans="1:11" x14ac:dyDescent="0.35">
      <c r="A86" s="174" t="s">
        <v>158</v>
      </c>
      <c r="B86" s="166" t="s">
        <v>148</v>
      </c>
      <c r="C86" s="126" t="s">
        <v>96</v>
      </c>
      <c r="D86" s="104"/>
      <c r="E86" s="61"/>
      <c r="F86" s="161"/>
    </row>
    <row r="87" spans="1:11" ht="16.5" x14ac:dyDescent="0.35">
      <c r="A87" s="17" t="s">
        <v>11</v>
      </c>
      <c r="B87" s="17" t="s">
        <v>12</v>
      </c>
      <c r="C87" s="19" t="s">
        <v>14</v>
      </c>
      <c r="D87" s="19" t="s">
        <v>40</v>
      </c>
      <c r="E87" s="19" t="s">
        <v>15</v>
      </c>
    </row>
    <row r="88" spans="1:11" x14ac:dyDescent="0.35">
      <c r="A88" s="167" t="s">
        <v>152</v>
      </c>
      <c r="B88" s="70">
        <f>2926*0.5</f>
        <v>1463</v>
      </c>
      <c r="C88" s="34">
        <f>+B88/250</f>
        <v>5.8520000000000003</v>
      </c>
      <c r="D88" s="27">
        <f>B88/$B$93</f>
        <v>0.28870251603354713</v>
      </c>
      <c r="E88" s="21">
        <f>+C88*$D$12</f>
        <v>374.52800000000002</v>
      </c>
    </row>
    <row r="89" spans="1:11" x14ac:dyDescent="0.35">
      <c r="A89" s="167" t="s">
        <v>153</v>
      </c>
      <c r="B89" s="70">
        <f>2664.8*0.5</f>
        <v>1332.4</v>
      </c>
      <c r="C89" s="34">
        <f t="shared" ref="C89:C91" si="18">+B89/250</f>
        <v>5.3296000000000001</v>
      </c>
      <c r="D89" s="27">
        <f t="shared" ref="D89:D92" si="19">B89/$B$93</f>
        <v>0.262930439072521</v>
      </c>
      <c r="E89" s="21">
        <f t="shared" ref="E89:E92" si="20">+C89*$D$12</f>
        <v>341.09440000000001</v>
      </c>
    </row>
    <row r="90" spans="1:11" ht="16.5" x14ac:dyDescent="0.35">
      <c r="A90" s="167" t="s">
        <v>154</v>
      </c>
      <c r="B90" s="70">
        <f>413.5*0.5</f>
        <v>206.75</v>
      </c>
      <c r="C90" s="34">
        <f t="shared" si="18"/>
        <v>0.82699999999999996</v>
      </c>
      <c r="D90" s="27">
        <f t="shared" si="19"/>
        <v>4.0799210656142081E-2</v>
      </c>
      <c r="E90" s="21">
        <f t="shared" si="20"/>
        <v>52.927999999999997</v>
      </c>
      <c r="G90" s="190" t="s">
        <v>1</v>
      </c>
      <c r="H90" s="167" t="s">
        <v>187</v>
      </c>
      <c r="I90" s="190" t="s">
        <v>1</v>
      </c>
      <c r="J90" s="167" t="s">
        <v>187</v>
      </c>
      <c r="K90" s="86" t="s">
        <v>188</v>
      </c>
    </row>
    <row r="91" spans="1:11" x14ac:dyDescent="0.35">
      <c r="A91" s="167" t="s">
        <v>151</v>
      </c>
      <c r="B91" s="159">
        <f>49*12*0.5</f>
        <v>294</v>
      </c>
      <c r="C91" s="34">
        <f t="shared" si="18"/>
        <v>1.1759999999999999</v>
      </c>
      <c r="D91" s="27">
        <f t="shared" si="19"/>
        <v>5.8016773556980761E-2</v>
      </c>
      <c r="E91" s="21">
        <f t="shared" si="20"/>
        <v>75.263999999999996</v>
      </c>
      <c r="F91" s="164"/>
      <c r="G91" s="98">
        <v>250</v>
      </c>
      <c r="H91" s="159">
        <f>54*12*0.5</f>
        <v>324</v>
      </c>
      <c r="I91" s="98">
        <v>64</v>
      </c>
      <c r="J91" s="186">
        <f>+H91*I91/G91</f>
        <v>82.944000000000003</v>
      </c>
      <c r="K91" s="21">
        <f>+J91-E91</f>
        <v>7.6800000000000068</v>
      </c>
    </row>
    <row r="92" spans="1:11" x14ac:dyDescent="0.35">
      <c r="A92" s="167" t="s">
        <v>150</v>
      </c>
      <c r="B92" s="70">
        <f>+C92*250</f>
        <v>1771.35</v>
      </c>
      <c r="C92" s="34">
        <f>5067.5/250-SUM(C88:C91)</f>
        <v>7.0853999999999999</v>
      </c>
      <c r="D92" s="27">
        <f t="shared" si="19"/>
        <v>0.34955106068080904</v>
      </c>
      <c r="E92" s="21">
        <f t="shared" si="20"/>
        <v>453.46559999999999</v>
      </c>
    </row>
    <row r="93" spans="1:11" ht="16.5" x14ac:dyDescent="0.35">
      <c r="A93" s="76" t="s">
        <v>7</v>
      </c>
      <c r="B93" s="77">
        <f>+SUM(B88:B92)</f>
        <v>5067.5</v>
      </c>
      <c r="C93" s="74">
        <f>+SUM(C88:C92)</f>
        <v>20.27</v>
      </c>
      <c r="D93" s="75" t="s">
        <v>39</v>
      </c>
      <c r="E93" s="34">
        <f>+SUM(E88:E92)</f>
        <v>1297.28</v>
      </c>
    </row>
    <row r="95" spans="1:11" ht="16.5" x14ac:dyDescent="0.35">
      <c r="A95" s="161" t="s">
        <v>160</v>
      </c>
      <c r="B95" s="104" t="s">
        <v>162</v>
      </c>
      <c r="C95" s="98">
        <v>1270</v>
      </c>
      <c r="D95" s="161" t="s">
        <v>1</v>
      </c>
    </row>
    <row r="96" spans="1:11" x14ac:dyDescent="0.35">
      <c r="A96" s="174" t="s">
        <v>158</v>
      </c>
      <c r="B96" s="166" t="s">
        <v>149</v>
      </c>
      <c r="C96" s="126" t="s">
        <v>97</v>
      </c>
      <c r="D96" s="104"/>
      <c r="E96" s="61"/>
      <c r="F96" s="161"/>
    </row>
    <row r="97" spans="1:11" ht="16.5" x14ac:dyDescent="0.35">
      <c r="A97" s="17" t="s">
        <v>11</v>
      </c>
      <c r="B97" s="17" t="s">
        <v>12</v>
      </c>
      <c r="C97" s="19" t="s">
        <v>14</v>
      </c>
      <c r="D97" s="19" t="s">
        <v>40</v>
      </c>
      <c r="E97" s="19" t="s">
        <v>15</v>
      </c>
    </row>
    <row r="98" spans="1:11" x14ac:dyDescent="0.35">
      <c r="A98" s="167" t="s">
        <v>152</v>
      </c>
      <c r="B98" s="70">
        <f>2926</f>
        <v>2926</v>
      </c>
      <c r="C98" s="34">
        <f>+B98/1270</f>
        <v>2.3039370078740156</v>
      </c>
      <c r="D98" s="27">
        <f>B98/$B$103</f>
        <v>0.1926368735680615</v>
      </c>
      <c r="E98" s="21">
        <f>+C98*$D$13</f>
        <v>2925.9999999999995</v>
      </c>
    </row>
    <row r="99" spans="1:11" x14ac:dyDescent="0.35">
      <c r="A99" s="167" t="s">
        <v>153</v>
      </c>
      <c r="B99" s="70">
        <f>2925.79</f>
        <v>2925.79</v>
      </c>
      <c r="C99" s="34">
        <f t="shared" ref="C99:C101" si="21">+B99/1270</f>
        <v>2.3037716535433073</v>
      </c>
      <c r="D99" s="27">
        <f t="shared" ref="D99:D102" si="22">B99/$B$103</f>
        <v>0.192623047955126</v>
      </c>
      <c r="E99" s="21">
        <f t="shared" ref="E99:E102" si="23">+C99*$D$13</f>
        <v>2925.7900000000004</v>
      </c>
    </row>
    <row r="100" spans="1:11" ht="16.5" x14ac:dyDescent="0.35">
      <c r="A100" s="167" t="s">
        <v>154</v>
      </c>
      <c r="B100" s="70">
        <f>459.7</f>
        <v>459.7</v>
      </c>
      <c r="C100" s="34">
        <f t="shared" si="21"/>
        <v>0.36196850393700786</v>
      </c>
      <c r="D100" s="27">
        <f t="shared" si="22"/>
        <v>3.0264925078345137E-2</v>
      </c>
      <c r="E100" s="21">
        <f t="shared" si="23"/>
        <v>459.7</v>
      </c>
      <c r="G100" s="190" t="s">
        <v>1</v>
      </c>
      <c r="H100" s="167" t="s">
        <v>187</v>
      </c>
      <c r="I100" s="190" t="s">
        <v>1</v>
      </c>
      <c r="J100" s="167" t="s">
        <v>187</v>
      </c>
      <c r="K100" s="86" t="s">
        <v>188</v>
      </c>
    </row>
    <row r="101" spans="1:11" x14ac:dyDescent="0.35">
      <c r="A101" s="167" t="s">
        <v>151</v>
      </c>
      <c r="B101" s="159">
        <f>49*12*3</f>
        <v>1764</v>
      </c>
      <c r="C101" s="34">
        <f t="shared" si="21"/>
        <v>1.388976377952756</v>
      </c>
      <c r="D101" s="27">
        <f t="shared" si="22"/>
        <v>0.11613514865825718</v>
      </c>
      <c r="E101" s="21">
        <f t="shared" si="23"/>
        <v>1764</v>
      </c>
      <c r="F101" s="164"/>
      <c r="G101" s="98">
        <v>1270</v>
      </c>
      <c r="H101" s="159">
        <f>54*12*3</f>
        <v>1944</v>
      </c>
      <c r="I101" s="98">
        <v>1270</v>
      </c>
      <c r="J101" s="186">
        <f>+H101*I101/G101</f>
        <v>1944</v>
      </c>
      <c r="K101" s="21">
        <f>+J101-E101</f>
        <v>180</v>
      </c>
    </row>
    <row r="102" spans="1:11" x14ac:dyDescent="0.35">
      <c r="A102" s="167" t="s">
        <v>150</v>
      </c>
      <c r="B102" s="70">
        <f>+C102*1270</f>
        <v>7113.7100000000009</v>
      </c>
      <c r="C102" s="34">
        <f>15189.2/1270-SUM(C98:C101)</f>
        <v>5.6013464566929141</v>
      </c>
      <c r="D102" s="27">
        <f t="shared" si="22"/>
        <v>0.4683400047402102</v>
      </c>
      <c r="E102" s="21">
        <f t="shared" si="23"/>
        <v>7113.7100000000009</v>
      </c>
    </row>
    <row r="103" spans="1:11" ht="16.5" x14ac:dyDescent="0.35">
      <c r="A103" s="76" t="s">
        <v>7</v>
      </c>
      <c r="B103" s="77">
        <f>+SUM(B98:B102)</f>
        <v>15189.2</v>
      </c>
      <c r="C103" s="74">
        <f>+SUM(C98:C102)</f>
        <v>11.96</v>
      </c>
      <c r="D103" s="75" t="s">
        <v>39</v>
      </c>
      <c r="E103" s="34">
        <f>+SUM(E98:E102)</f>
        <v>15189.2</v>
      </c>
    </row>
    <row r="105" spans="1:11" ht="15.5" x14ac:dyDescent="0.35">
      <c r="A105" s="175" t="s">
        <v>104</v>
      </c>
      <c r="B105" s="83" t="s">
        <v>105</v>
      </c>
      <c r="C105" s="84" t="s">
        <v>106</v>
      </c>
      <c r="D105" s="84" t="s">
        <v>107</v>
      </c>
      <c r="E105" s="176"/>
    </row>
    <row r="106" spans="1:11" x14ac:dyDescent="0.35">
      <c r="A106" s="177" t="s">
        <v>164</v>
      </c>
      <c r="B106" s="178">
        <v>14</v>
      </c>
      <c r="C106" s="81">
        <f>19*9</f>
        <v>171</v>
      </c>
      <c r="D106" s="81">
        <f>+B106*C106</f>
        <v>2394</v>
      </c>
    </row>
    <row r="107" spans="1:11" x14ac:dyDescent="0.35">
      <c r="A107" s="179" t="s">
        <v>165</v>
      </c>
      <c r="B107" s="178">
        <v>9</v>
      </c>
      <c r="C107" s="81">
        <f>19*9</f>
        <v>171</v>
      </c>
      <c r="D107" s="81">
        <f t="shared" ref="D107:D114" si="24">+B107*C107</f>
        <v>1539</v>
      </c>
    </row>
    <row r="108" spans="1:11" x14ac:dyDescent="0.35">
      <c r="A108" s="179" t="s">
        <v>102</v>
      </c>
      <c r="B108" s="178">
        <v>10</v>
      </c>
      <c r="C108" s="81">
        <f>19*9</f>
        <v>171</v>
      </c>
      <c r="D108" s="81">
        <f t="shared" si="24"/>
        <v>1710</v>
      </c>
    </row>
    <row r="109" spans="1:11" x14ac:dyDescent="0.35">
      <c r="A109" s="179" t="s">
        <v>101</v>
      </c>
      <c r="B109" s="178">
        <v>4</v>
      </c>
      <c r="C109" s="81">
        <f>19*4</f>
        <v>76</v>
      </c>
      <c r="D109" s="81">
        <f t="shared" si="24"/>
        <v>304</v>
      </c>
    </row>
    <row r="110" spans="1:11" x14ac:dyDescent="0.35">
      <c r="A110" s="179" t="s">
        <v>166</v>
      </c>
      <c r="B110" s="178">
        <v>16</v>
      </c>
      <c r="C110" s="81">
        <f>19*6</f>
        <v>114</v>
      </c>
      <c r="D110" s="81">
        <f t="shared" si="24"/>
        <v>1824</v>
      </c>
    </row>
    <row r="111" spans="1:11" x14ac:dyDescent="0.35">
      <c r="A111" s="179" t="s">
        <v>167</v>
      </c>
      <c r="B111" s="178">
        <v>4</v>
      </c>
      <c r="C111" s="81">
        <f>19*2</f>
        <v>38</v>
      </c>
      <c r="D111" s="81">
        <f t="shared" si="24"/>
        <v>152</v>
      </c>
    </row>
    <row r="112" spans="1:11" x14ac:dyDescent="0.35">
      <c r="A112" s="179" t="s">
        <v>168</v>
      </c>
      <c r="B112" s="178">
        <v>4</v>
      </c>
      <c r="C112" s="81">
        <f>19*2</f>
        <v>38</v>
      </c>
      <c r="D112" s="81">
        <f t="shared" si="24"/>
        <v>152</v>
      </c>
    </row>
    <row r="113" spans="1:6" x14ac:dyDescent="0.35">
      <c r="A113" s="179" t="s">
        <v>169</v>
      </c>
      <c r="B113" s="178">
        <v>20</v>
      </c>
      <c r="C113" s="81">
        <f>19*4</f>
        <v>76</v>
      </c>
      <c r="D113" s="81">
        <f t="shared" si="24"/>
        <v>1520</v>
      </c>
    </row>
    <row r="114" spans="1:6" x14ac:dyDescent="0.35">
      <c r="A114" s="180" t="s">
        <v>170</v>
      </c>
      <c r="B114" s="181">
        <v>14</v>
      </c>
      <c r="C114" s="81">
        <f>19*4</f>
        <v>76</v>
      </c>
      <c r="D114" s="81">
        <f t="shared" si="24"/>
        <v>1064</v>
      </c>
      <c r="E114" s="182" t="s">
        <v>171</v>
      </c>
    </row>
    <row r="115" spans="1:6" x14ac:dyDescent="0.35">
      <c r="A115" s="85"/>
      <c r="B115" s="85"/>
      <c r="C115" s="87" t="s">
        <v>172</v>
      </c>
      <c r="D115" s="82">
        <f>+SUM(D106:D114)</f>
        <v>10659</v>
      </c>
    </row>
    <row r="116" spans="1:6" x14ac:dyDescent="0.35">
      <c r="C116" s="61" t="s">
        <v>108</v>
      </c>
      <c r="D116" s="86">
        <v>1.0468</v>
      </c>
      <c r="E116" s="201" t="s">
        <v>233</v>
      </c>
      <c r="F116" s="25"/>
    </row>
    <row r="117" spans="1:6" x14ac:dyDescent="0.35">
      <c r="C117" s="61" t="s">
        <v>109</v>
      </c>
      <c r="D117" s="34">
        <f>+D116*D115</f>
        <v>11157.841199999999</v>
      </c>
      <c r="E117" s="25"/>
      <c r="F117" s="25"/>
    </row>
    <row r="118" spans="1:6" x14ac:dyDescent="0.35">
      <c r="C118" s="61" t="s">
        <v>110</v>
      </c>
      <c r="D118" s="97">
        <f>(1.3298*14+1.2629*5)/19</f>
        <v>1.3121947368421052</v>
      </c>
      <c r="E118" s="201" t="s">
        <v>234</v>
      </c>
      <c r="F118" s="201" t="s">
        <v>235</v>
      </c>
    </row>
    <row r="119" spans="1:6" x14ac:dyDescent="0.35">
      <c r="C119" s="61" t="s">
        <v>111</v>
      </c>
      <c r="D119" s="34">
        <f>+D118*D117</f>
        <v>14641.260497159998</v>
      </c>
    </row>
    <row r="120" spans="1:6" x14ac:dyDescent="0.35">
      <c r="C120" s="61" t="s">
        <v>117</v>
      </c>
      <c r="D120" s="34">
        <f>+D119-D117</f>
        <v>3483.4192971599987</v>
      </c>
    </row>
    <row r="121" spans="1:6" ht="28" x14ac:dyDescent="0.35">
      <c r="C121" s="199" t="s">
        <v>244</v>
      </c>
      <c r="D121" s="64">
        <f>D120/D117</f>
        <v>0.31219473684210519</v>
      </c>
    </row>
  </sheetData>
  <mergeCells count="4">
    <mergeCell ref="D2:E2"/>
    <mergeCell ref="A9:A13"/>
    <mergeCell ref="A7:A8"/>
    <mergeCell ref="H16:K16"/>
  </mergeCells>
  <pageMargins left="0.7" right="0.7" top="0.75" bottom="0.75" header="0.3" footer="0.3"/>
  <ignoredErrors>
    <ignoredError sqref="D118" formula="1"/>
  </ignoredError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11D3-FF3E-4ECA-9FF8-9E1BE9EED310}">
  <dimension ref="A1:L98"/>
  <sheetViews>
    <sheetView zoomScale="70" zoomScaleNormal="70" workbookViewId="0">
      <selection activeCell="J98" sqref="J98"/>
    </sheetView>
  </sheetViews>
  <sheetFormatPr defaultRowHeight="14.5" x14ac:dyDescent="0.35"/>
  <cols>
    <col min="1" max="1" width="42.08984375" bestFit="1" customWidth="1"/>
    <col min="2" max="2" width="33.1796875" bestFit="1" customWidth="1"/>
    <col min="3" max="3" width="57.1796875" bestFit="1" customWidth="1"/>
    <col min="4" max="4" width="30.36328125" customWidth="1"/>
    <col min="5" max="5" width="47.36328125" bestFit="1" customWidth="1"/>
    <col min="6" max="6" width="46.08984375" bestFit="1" customWidth="1"/>
    <col min="7" max="7" width="5" bestFit="1" customWidth="1"/>
    <col min="8" max="8" width="32" bestFit="1" customWidth="1"/>
    <col min="9" max="9" width="15.453125" bestFit="1" customWidth="1"/>
    <col min="10" max="10" width="32" bestFit="1" customWidth="1"/>
    <col min="11" max="11" width="17.453125" bestFit="1" customWidth="1"/>
    <col min="12" max="12" width="47.36328125" bestFit="1" customWidth="1"/>
  </cols>
  <sheetData>
    <row r="1" spans="1:12" x14ac:dyDescent="0.35">
      <c r="A1" s="62" t="s">
        <v>83</v>
      </c>
      <c r="B1" s="1" t="s">
        <v>174</v>
      </c>
    </row>
    <row r="2" spans="1:12" x14ac:dyDescent="0.35">
      <c r="A2" s="102" t="s">
        <v>175</v>
      </c>
    </row>
    <row r="3" spans="1:12" x14ac:dyDescent="0.35">
      <c r="A3" s="63" t="s">
        <v>90</v>
      </c>
      <c r="B3" s="104" t="s">
        <v>161</v>
      </c>
      <c r="C3" s="171"/>
      <c r="D3" s="172"/>
      <c r="E3" s="172"/>
      <c r="G3" s="101"/>
      <c r="H3" s="104"/>
      <c r="I3" s="149"/>
      <c r="J3" s="149"/>
      <c r="K3" s="25"/>
    </row>
    <row r="4" spans="1:12" ht="16" x14ac:dyDescent="0.35">
      <c r="A4" s="166" t="s">
        <v>64</v>
      </c>
      <c r="B4" s="166" t="s">
        <v>3</v>
      </c>
      <c r="C4" s="86" t="s">
        <v>65</v>
      </c>
      <c r="D4" s="86" t="s">
        <v>163</v>
      </c>
      <c r="E4" s="86" t="s">
        <v>91</v>
      </c>
      <c r="G4" s="149"/>
      <c r="H4" s="149"/>
      <c r="I4" s="149"/>
      <c r="J4" s="149"/>
      <c r="K4" s="149"/>
      <c r="L4" s="61"/>
    </row>
    <row r="5" spans="1:12" s="25" customFormat="1" ht="15.65" customHeight="1" x14ac:dyDescent="0.35">
      <c r="A5" s="173" t="s">
        <v>155</v>
      </c>
      <c r="B5" s="86">
        <v>40101</v>
      </c>
      <c r="C5" s="44" t="s">
        <v>176</v>
      </c>
      <c r="D5" s="18">
        <v>3503</v>
      </c>
      <c r="E5" s="187">
        <v>2</v>
      </c>
      <c r="F5"/>
      <c r="G5" s="149"/>
      <c r="H5" s="149"/>
      <c r="I5" s="149"/>
      <c r="J5" s="149"/>
      <c r="K5" s="148"/>
      <c r="L5" s="191"/>
    </row>
    <row r="6" spans="1:12" s="25" customFormat="1" ht="15.5" x14ac:dyDescent="0.35">
      <c r="A6" s="168" t="s">
        <v>156</v>
      </c>
      <c r="B6" s="86">
        <v>40101</v>
      </c>
      <c r="C6" s="44" t="s">
        <v>176</v>
      </c>
      <c r="D6" s="18">
        <v>1694</v>
      </c>
      <c r="E6" s="187">
        <v>2</v>
      </c>
      <c r="F6"/>
      <c r="G6" s="149"/>
      <c r="H6" s="149"/>
      <c r="I6" s="149"/>
      <c r="J6" s="149"/>
      <c r="K6" s="148"/>
      <c r="L6" s="191"/>
    </row>
    <row r="7" spans="1:12" s="25" customFormat="1" ht="15.5" x14ac:dyDescent="0.35">
      <c r="A7" s="217" t="s">
        <v>157</v>
      </c>
      <c r="B7" s="86" t="s">
        <v>184</v>
      </c>
      <c r="C7" s="44" t="s">
        <v>176</v>
      </c>
      <c r="D7" s="18">
        <v>7274</v>
      </c>
      <c r="E7" s="187">
        <v>6</v>
      </c>
      <c r="F7"/>
      <c r="G7" s="149"/>
      <c r="H7" s="149"/>
      <c r="I7" s="149"/>
      <c r="J7" s="149"/>
      <c r="K7" s="148"/>
      <c r="L7" s="191"/>
    </row>
    <row r="8" spans="1:12" s="25" customFormat="1" ht="15.5" x14ac:dyDescent="0.35">
      <c r="A8" s="220"/>
      <c r="B8" s="86" t="s">
        <v>183</v>
      </c>
      <c r="C8" s="44" t="s">
        <v>193</v>
      </c>
      <c r="D8" s="18">
        <v>5912</v>
      </c>
      <c r="E8" s="187">
        <v>4</v>
      </c>
      <c r="F8"/>
      <c r="G8" s="149"/>
      <c r="H8" s="149"/>
      <c r="I8" s="149"/>
      <c r="J8" s="149"/>
      <c r="K8" s="148"/>
      <c r="L8" s="191"/>
    </row>
    <row r="9" spans="1:12" s="25" customFormat="1" ht="15.5" x14ac:dyDescent="0.35">
      <c r="A9" s="218"/>
      <c r="B9" s="86" t="s">
        <v>182</v>
      </c>
      <c r="C9" s="44" t="s">
        <v>177</v>
      </c>
      <c r="D9" s="18">
        <v>1903</v>
      </c>
      <c r="E9" s="187">
        <v>1</v>
      </c>
      <c r="F9"/>
      <c r="G9" s="149"/>
      <c r="H9" s="149"/>
      <c r="I9" s="149"/>
      <c r="J9" s="149"/>
      <c r="K9" s="148"/>
      <c r="L9" s="191"/>
    </row>
    <row r="10" spans="1:12" s="25" customFormat="1" ht="15.65" customHeight="1" x14ac:dyDescent="0.35">
      <c r="A10" s="214" t="s">
        <v>158</v>
      </c>
      <c r="B10" s="86" t="s">
        <v>184</v>
      </c>
      <c r="C10" s="44" t="s">
        <v>178</v>
      </c>
      <c r="D10" s="18">
        <v>1064</v>
      </c>
      <c r="E10" s="188">
        <v>0.5</v>
      </c>
      <c r="G10" s="149"/>
      <c r="H10" s="149"/>
      <c r="I10" s="149"/>
      <c r="J10" s="149"/>
      <c r="K10" s="148"/>
      <c r="L10" s="191"/>
    </row>
    <row r="11" spans="1:12" s="25" customFormat="1" ht="15.5" x14ac:dyDescent="0.35">
      <c r="A11" s="215"/>
      <c r="B11" s="86" t="s">
        <v>183</v>
      </c>
      <c r="C11" s="44" t="s">
        <v>179</v>
      </c>
      <c r="D11" s="18">
        <v>2278</v>
      </c>
      <c r="E11" s="188">
        <v>0.5</v>
      </c>
      <c r="G11" s="149"/>
      <c r="H11" s="149"/>
      <c r="I11" s="149"/>
      <c r="J11" s="149"/>
      <c r="K11" s="148"/>
      <c r="L11" s="191"/>
    </row>
    <row r="12" spans="1:12" s="25" customFormat="1" ht="15.5" x14ac:dyDescent="0.35">
      <c r="A12" s="215"/>
      <c r="B12" s="86" t="s">
        <v>185</v>
      </c>
      <c r="C12" s="44" t="s">
        <v>180</v>
      </c>
      <c r="D12" s="18">
        <v>1786</v>
      </c>
      <c r="E12" s="188">
        <v>0.5</v>
      </c>
      <c r="G12" s="149"/>
      <c r="H12" s="149"/>
      <c r="I12" s="149"/>
      <c r="J12" s="149"/>
      <c r="K12" s="148"/>
      <c r="L12" s="191"/>
    </row>
    <row r="13" spans="1:12" s="25" customFormat="1" ht="15.5" x14ac:dyDescent="0.35">
      <c r="A13" s="216"/>
      <c r="B13" s="86" t="s">
        <v>186</v>
      </c>
      <c r="C13" s="44" t="s">
        <v>181</v>
      </c>
      <c r="D13" s="18">
        <v>192</v>
      </c>
      <c r="E13" s="188">
        <v>0.1</v>
      </c>
      <c r="G13" s="149"/>
      <c r="H13" s="149"/>
      <c r="I13" s="149"/>
      <c r="J13" s="149"/>
      <c r="K13" s="148"/>
      <c r="L13" s="191"/>
    </row>
    <row r="14" spans="1:12" x14ac:dyDescent="0.35">
      <c r="E14" s="189">
        <f>+SUM(E5:E13)</f>
        <v>16.600000000000001</v>
      </c>
    </row>
    <row r="16" spans="1:12" ht="16.5" x14ac:dyDescent="0.35">
      <c r="A16" s="101" t="s">
        <v>160</v>
      </c>
      <c r="B16" s="104" t="s">
        <v>159</v>
      </c>
      <c r="C16" s="61">
        <v>4000</v>
      </c>
      <c r="D16" s="161" t="s">
        <v>1</v>
      </c>
    </row>
    <row r="17" spans="1:11" ht="15.5" x14ac:dyDescent="0.35">
      <c r="A17" s="165" t="s">
        <v>155</v>
      </c>
      <c r="B17" s="86">
        <v>40101</v>
      </c>
      <c r="C17" s="44" t="s">
        <v>176</v>
      </c>
      <c r="D17" s="104"/>
      <c r="E17" s="61" t="s">
        <v>208</v>
      </c>
      <c r="H17" s="219" t="s">
        <v>207</v>
      </c>
      <c r="I17" s="219"/>
      <c r="J17" s="219"/>
      <c r="K17" s="219"/>
    </row>
    <row r="18" spans="1:11" ht="16.5" x14ac:dyDescent="0.35">
      <c r="A18" s="17" t="s">
        <v>11</v>
      </c>
      <c r="B18" s="17" t="s">
        <v>12</v>
      </c>
      <c r="C18" s="19" t="s">
        <v>14</v>
      </c>
      <c r="D18" s="19" t="s">
        <v>40</v>
      </c>
      <c r="E18" s="19" t="s">
        <v>15</v>
      </c>
    </row>
    <row r="19" spans="1:11" x14ac:dyDescent="0.35">
      <c r="A19" s="167" t="s">
        <v>152</v>
      </c>
      <c r="B19" s="70">
        <f>+(4*20*12+350)*3</f>
        <v>3930</v>
      </c>
      <c r="C19" s="34">
        <f>+B19/4000</f>
        <v>0.98250000000000004</v>
      </c>
      <c r="D19" s="27">
        <f>B19/$B$22</f>
        <v>0.28071428571428569</v>
      </c>
      <c r="E19" s="21">
        <f>+C19*$D$5</f>
        <v>3441.6975000000002</v>
      </c>
    </row>
    <row r="20" spans="1:11" ht="16.5" x14ac:dyDescent="0.35">
      <c r="A20" s="167" t="s">
        <v>153</v>
      </c>
      <c r="B20" s="70">
        <f>14000-B19-B21</f>
        <v>7250</v>
      </c>
      <c r="C20" s="34">
        <f t="shared" ref="C20:C21" si="0">+B20/4000</f>
        <v>1.8125</v>
      </c>
      <c r="D20" s="27">
        <f>B20/$B$22</f>
        <v>0.5178571428571429</v>
      </c>
      <c r="E20" s="21">
        <f t="shared" ref="E20" si="1">+C20*$D$5</f>
        <v>6349.1875</v>
      </c>
      <c r="G20" s="190" t="s">
        <v>1</v>
      </c>
      <c r="H20" s="167" t="s">
        <v>187</v>
      </c>
      <c r="I20" s="190" t="s">
        <v>1</v>
      </c>
      <c r="J20" s="167" t="s">
        <v>187</v>
      </c>
      <c r="K20" s="86" t="s">
        <v>188</v>
      </c>
    </row>
    <row r="21" spans="1:11" x14ac:dyDescent="0.35">
      <c r="A21" s="167" t="s">
        <v>151</v>
      </c>
      <c r="B21" s="159">
        <f>2*10*47*3</f>
        <v>2820</v>
      </c>
      <c r="C21" s="34">
        <f t="shared" si="0"/>
        <v>0.70499999999999996</v>
      </c>
      <c r="D21" s="27">
        <f>B21/$B$22</f>
        <v>0.20142857142857143</v>
      </c>
      <c r="E21" s="21">
        <f>+C21*$D$5</f>
        <v>2469.6149999999998</v>
      </c>
      <c r="F21" s="164"/>
      <c r="G21" s="98">
        <v>4000</v>
      </c>
      <c r="H21" s="159">
        <f>2*10*51*3</f>
        <v>3060</v>
      </c>
      <c r="I21" s="98">
        <v>3503</v>
      </c>
      <c r="J21" s="186">
        <f>+H21*I21/G21</f>
        <v>2679.7950000000001</v>
      </c>
      <c r="K21" s="21">
        <f>+J21-E21</f>
        <v>210.18000000000029</v>
      </c>
    </row>
    <row r="22" spans="1:11" ht="16.5" x14ac:dyDescent="0.35">
      <c r="A22" s="76" t="s">
        <v>7</v>
      </c>
      <c r="B22" s="184">
        <f>+SUM(B19:B21)</f>
        <v>14000</v>
      </c>
      <c r="C22" s="183">
        <f>+SUM(C19:C21)</f>
        <v>3.5</v>
      </c>
      <c r="D22" s="75" t="s">
        <v>39</v>
      </c>
      <c r="E22" s="34">
        <f>+SUM(E19:E21)</f>
        <v>12260.5</v>
      </c>
    </row>
    <row r="24" spans="1:11" ht="16.5" x14ac:dyDescent="0.35">
      <c r="A24" s="101" t="s">
        <v>160</v>
      </c>
      <c r="B24" s="104" t="s">
        <v>159</v>
      </c>
      <c r="C24" s="61">
        <v>3700</v>
      </c>
      <c r="D24" s="161" t="s">
        <v>1</v>
      </c>
    </row>
    <row r="25" spans="1:11" ht="15.5" x14ac:dyDescent="0.35">
      <c r="A25" s="168" t="s">
        <v>156</v>
      </c>
      <c r="B25" s="86">
        <v>40101</v>
      </c>
      <c r="C25" s="44" t="s">
        <v>176</v>
      </c>
      <c r="D25" s="104"/>
      <c r="E25" s="61"/>
    </row>
    <row r="26" spans="1:11" ht="16.5" x14ac:dyDescent="0.35">
      <c r="A26" s="17" t="s">
        <v>11</v>
      </c>
      <c r="B26" s="17" t="s">
        <v>12</v>
      </c>
      <c r="C26" s="19" t="s">
        <v>14</v>
      </c>
      <c r="D26" s="19" t="s">
        <v>40</v>
      </c>
      <c r="E26" s="19" t="s">
        <v>15</v>
      </c>
    </row>
    <row r="27" spans="1:11" x14ac:dyDescent="0.35">
      <c r="A27" s="167" t="s">
        <v>152</v>
      </c>
      <c r="B27" s="70">
        <f>+(4*20*12+350)*3</f>
        <v>3930</v>
      </c>
      <c r="C27" s="34">
        <f>+B27/3700</f>
        <v>1.0621621621621622</v>
      </c>
      <c r="D27" s="27">
        <f>B27/$B$30</f>
        <v>0.28400057811822516</v>
      </c>
      <c r="E27" s="21">
        <f>+C27*$D$6</f>
        <v>1799.3027027027028</v>
      </c>
    </row>
    <row r="28" spans="1:11" ht="16.5" x14ac:dyDescent="0.35">
      <c r="A28" s="167" t="s">
        <v>153</v>
      </c>
      <c r="B28" s="70">
        <f>13838-B27-B29</f>
        <v>7088</v>
      </c>
      <c r="C28" s="34">
        <f>+B28/3700</f>
        <v>1.9156756756756756</v>
      </c>
      <c r="D28" s="27">
        <f t="shared" ref="D28:D29" si="2">B28/$B$30</f>
        <v>0.51221274750686518</v>
      </c>
      <c r="E28" s="21">
        <f t="shared" ref="E28:E29" si="3">+C28*$D$6</f>
        <v>3245.1545945945945</v>
      </c>
      <c r="G28" s="190" t="s">
        <v>1</v>
      </c>
      <c r="H28" s="167" t="s">
        <v>187</v>
      </c>
      <c r="I28" s="190" t="s">
        <v>1</v>
      </c>
      <c r="J28" s="167" t="s">
        <v>187</v>
      </c>
      <c r="K28" s="86" t="s">
        <v>188</v>
      </c>
    </row>
    <row r="29" spans="1:11" x14ac:dyDescent="0.35">
      <c r="A29" s="167" t="s">
        <v>151</v>
      </c>
      <c r="B29" s="159">
        <f>2*10*47*3</f>
        <v>2820</v>
      </c>
      <c r="C29" s="34">
        <f>+B29/3700</f>
        <v>0.76216216216216215</v>
      </c>
      <c r="D29" s="27">
        <f t="shared" si="2"/>
        <v>0.20378667437490966</v>
      </c>
      <c r="E29" s="21">
        <f t="shared" si="3"/>
        <v>1291.1027027027026</v>
      </c>
      <c r="F29" s="164"/>
      <c r="G29" s="98">
        <v>3700</v>
      </c>
      <c r="H29" s="159">
        <f>2*10*51*3</f>
        <v>3060</v>
      </c>
      <c r="I29" s="98">
        <v>1694</v>
      </c>
      <c r="J29" s="186">
        <f>+H29*I29/G29</f>
        <v>1400.9837837837838</v>
      </c>
      <c r="K29" s="21">
        <f>+J29-E29</f>
        <v>109.88108108108122</v>
      </c>
    </row>
    <row r="30" spans="1:11" ht="16.5" x14ac:dyDescent="0.35">
      <c r="A30" s="76" t="s">
        <v>7</v>
      </c>
      <c r="B30" s="184">
        <f>+SUM(B27:B29)</f>
        <v>13838</v>
      </c>
      <c r="C30" s="183">
        <f>+SUM(C27:C29)</f>
        <v>3.74</v>
      </c>
      <c r="D30" s="75" t="s">
        <v>39</v>
      </c>
      <c r="E30" s="34">
        <f>+SUM(E27:E29)</f>
        <v>6335.5599999999995</v>
      </c>
    </row>
    <row r="32" spans="1:11" ht="16.5" x14ac:dyDescent="0.35">
      <c r="A32" s="101" t="s">
        <v>160</v>
      </c>
      <c r="B32" s="104" t="s">
        <v>30</v>
      </c>
      <c r="C32" s="61">
        <v>6100</v>
      </c>
      <c r="D32" s="161" t="s">
        <v>1</v>
      </c>
    </row>
    <row r="33" spans="1:11" ht="15.5" x14ac:dyDescent="0.35">
      <c r="A33" s="169" t="s">
        <v>157</v>
      </c>
      <c r="B33" s="86" t="s">
        <v>184</v>
      </c>
      <c r="C33" s="44" t="s">
        <v>176</v>
      </c>
      <c r="D33" s="104"/>
      <c r="E33" s="61"/>
    </row>
    <row r="34" spans="1:11" ht="16.5" x14ac:dyDescent="0.35">
      <c r="A34" s="17" t="s">
        <v>11</v>
      </c>
      <c r="B34" s="17" t="s">
        <v>12</v>
      </c>
      <c r="C34" s="19" t="s">
        <v>14</v>
      </c>
      <c r="D34" s="19" t="s">
        <v>40</v>
      </c>
      <c r="E34" s="19" t="s">
        <v>15</v>
      </c>
    </row>
    <row r="35" spans="1:11" x14ac:dyDescent="0.35">
      <c r="A35" s="167" t="s">
        <v>152</v>
      </c>
      <c r="B35" s="70">
        <f>+(4*20*12+350)*4</f>
        <v>5240</v>
      </c>
      <c r="C35" s="34">
        <f>+B35/6100</f>
        <v>0.85901639344262293</v>
      </c>
      <c r="D35" s="27">
        <f>B35/$B$38</f>
        <v>0.28729645265639564</v>
      </c>
      <c r="E35" s="21">
        <f>+C35*$D$7</f>
        <v>6248.4852459016392</v>
      </c>
    </row>
    <row r="36" spans="1:11" ht="16.5" x14ac:dyDescent="0.35">
      <c r="A36" s="167" t="s">
        <v>153</v>
      </c>
      <c r="B36" s="70">
        <f>18239-B35-B37</f>
        <v>9239</v>
      </c>
      <c r="C36" s="34">
        <f>+B36/6100</f>
        <v>1.5145901639344261</v>
      </c>
      <c r="D36" s="27">
        <f t="shared" ref="D36:D37" si="4">B36/$B$38</f>
        <v>0.50655189429245029</v>
      </c>
      <c r="E36" s="21">
        <f t="shared" ref="E36:E37" si="5">+C36*$D$7</f>
        <v>11017.128852459016</v>
      </c>
      <c r="G36" s="190" t="s">
        <v>1</v>
      </c>
      <c r="H36" s="167" t="s">
        <v>187</v>
      </c>
      <c r="I36" s="190" t="s">
        <v>1</v>
      </c>
      <c r="J36" s="167" t="s">
        <v>187</v>
      </c>
      <c r="K36" s="86" t="s">
        <v>188</v>
      </c>
    </row>
    <row r="37" spans="1:11" x14ac:dyDescent="0.35">
      <c r="A37" s="167" t="s">
        <v>151</v>
      </c>
      <c r="B37" s="159">
        <f>2*10*47*4</f>
        <v>3760</v>
      </c>
      <c r="C37" s="34">
        <f>+B37/6100</f>
        <v>0.61639344262295082</v>
      </c>
      <c r="D37" s="27">
        <f t="shared" si="4"/>
        <v>0.20615165305115413</v>
      </c>
      <c r="E37" s="21">
        <f t="shared" si="5"/>
        <v>4483.6459016393446</v>
      </c>
      <c r="F37" s="164"/>
      <c r="G37" s="98">
        <v>6100</v>
      </c>
      <c r="H37" s="159">
        <f>2*10*51*4</f>
        <v>4080</v>
      </c>
      <c r="I37" s="98">
        <v>7274</v>
      </c>
      <c r="J37" s="186">
        <f>+H37*I37/G37</f>
        <v>4865.2327868852462</v>
      </c>
      <c r="K37" s="21">
        <f>+J37-E37</f>
        <v>381.58688524590161</v>
      </c>
    </row>
    <row r="38" spans="1:11" ht="16.5" x14ac:dyDescent="0.35">
      <c r="A38" s="76" t="s">
        <v>7</v>
      </c>
      <c r="B38" s="184">
        <f>+SUM(B35:B37)</f>
        <v>18239</v>
      </c>
      <c r="C38" s="183">
        <f>+SUM(C35:C37)</f>
        <v>2.9899999999999998</v>
      </c>
      <c r="D38" s="75" t="s">
        <v>39</v>
      </c>
      <c r="E38" s="34">
        <f>+SUM(E35:E37)</f>
        <v>21749.260000000002</v>
      </c>
    </row>
    <row r="40" spans="1:11" ht="16.5" x14ac:dyDescent="0.35">
      <c r="A40" s="101" t="s">
        <v>160</v>
      </c>
      <c r="B40" s="104" t="s">
        <v>30</v>
      </c>
      <c r="C40" s="61">
        <v>5000</v>
      </c>
      <c r="D40" s="161" t="s">
        <v>1</v>
      </c>
    </row>
    <row r="41" spans="1:11" ht="15.5" x14ac:dyDescent="0.35">
      <c r="A41" s="169" t="s">
        <v>157</v>
      </c>
      <c r="B41" s="86" t="s">
        <v>183</v>
      </c>
      <c r="C41" s="44" t="s">
        <v>176</v>
      </c>
      <c r="D41" s="104"/>
      <c r="E41" s="61"/>
    </row>
    <row r="42" spans="1:11" ht="16.5" x14ac:dyDescent="0.35">
      <c r="A42" s="17" t="s">
        <v>11</v>
      </c>
      <c r="B42" s="17" t="s">
        <v>12</v>
      </c>
      <c r="C42" s="19" t="s">
        <v>14</v>
      </c>
      <c r="D42" s="19" t="s">
        <v>40</v>
      </c>
      <c r="E42" s="19" t="s">
        <v>15</v>
      </c>
    </row>
    <row r="43" spans="1:11" x14ac:dyDescent="0.35">
      <c r="A43" s="167" t="s">
        <v>152</v>
      </c>
      <c r="B43" s="70">
        <f>+(4*20*12+350)*4</f>
        <v>5240</v>
      </c>
      <c r="C43" s="34">
        <f>+B43/5000</f>
        <v>1.048</v>
      </c>
      <c r="D43" s="27">
        <f>B43/$B$46</f>
        <v>0.28555858310626703</v>
      </c>
      <c r="E43" s="21">
        <f>+C43*$D$8</f>
        <v>6195.7759999999998</v>
      </c>
    </row>
    <row r="44" spans="1:11" ht="16.5" x14ac:dyDescent="0.35">
      <c r="A44" s="167" t="s">
        <v>153</v>
      </c>
      <c r="B44" s="70">
        <f>18350-B43-B45</f>
        <v>9350</v>
      </c>
      <c r="C44" s="34">
        <f t="shared" ref="C44:C45" si="6">+B44/5000</f>
        <v>1.87</v>
      </c>
      <c r="D44" s="27">
        <f t="shared" ref="D44:D45" si="7">B44/$B$46</f>
        <v>0.50953678474114439</v>
      </c>
      <c r="E44" s="21">
        <f t="shared" ref="E44:E45" si="8">+C44*$D$8</f>
        <v>11055.44</v>
      </c>
      <c r="G44" s="190" t="s">
        <v>1</v>
      </c>
      <c r="H44" s="167" t="s">
        <v>187</v>
      </c>
      <c r="I44" s="190" t="s">
        <v>1</v>
      </c>
      <c r="J44" s="167" t="s">
        <v>187</v>
      </c>
      <c r="K44" s="86" t="s">
        <v>188</v>
      </c>
    </row>
    <row r="45" spans="1:11" x14ac:dyDescent="0.35">
      <c r="A45" s="167" t="s">
        <v>151</v>
      </c>
      <c r="B45" s="159">
        <f>2*10*47*4</f>
        <v>3760</v>
      </c>
      <c r="C45" s="34">
        <f t="shared" si="6"/>
        <v>0.752</v>
      </c>
      <c r="D45" s="27">
        <f t="shared" si="7"/>
        <v>0.20490463215258856</v>
      </c>
      <c r="E45" s="21">
        <f t="shared" si="8"/>
        <v>4445.8239999999996</v>
      </c>
      <c r="F45" s="164"/>
      <c r="G45" s="98">
        <v>5000</v>
      </c>
      <c r="H45" s="159">
        <f>2*10*51*4</f>
        <v>4080</v>
      </c>
      <c r="I45" s="98">
        <v>5912</v>
      </c>
      <c r="J45" s="186">
        <f>+H45*I45/G45</f>
        <v>4824.192</v>
      </c>
      <c r="K45" s="21">
        <f>+J45-E45</f>
        <v>378.36800000000039</v>
      </c>
    </row>
    <row r="46" spans="1:11" ht="16.5" x14ac:dyDescent="0.35">
      <c r="A46" s="76" t="s">
        <v>7</v>
      </c>
      <c r="B46" s="184">
        <f>+SUM(B43:B45)</f>
        <v>18350</v>
      </c>
      <c r="C46" s="183">
        <f>+SUM(C43:C45)</f>
        <v>3.67</v>
      </c>
      <c r="D46" s="75" t="s">
        <v>39</v>
      </c>
      <c r="E46" s="34">
        <f>+SUM(E43:E45)</f>
        <v>21697.040000000001</v>
      </c>
    </row>
    <row r="48" spans="1:11" ht="16.5" x14ac:dyDescent="0.35">
      <c r="A48" s="101" t="s">
        <v>160</v>
      </c>
      <c r="B48" s="104" t="s">
        <v>162</v>
      </c>
      <c r="C48" s="61">
        <v>2650</v>
      </c>
      <c r="D48" s="161" t="s">
        <v>1</v>
      </c>
    </row>
    <row r="49" spans="1:11" ht="15.5" x14ac:dyDescent="0.35">
      <c r="A49" s="169" t="s">
        <v>157</v>
      </c>
      <c r="B49" s="86" t="s">
        <v>182</v>
      </c>
      <c r="C49" s="44" t="s">
        <v>177</v>
      </c>
      <c r="D49" s="104"/>
      <c r="E49" s="61"/>
    </row>
    <row r="50" spans="1:11" ht="16.5" x14ac:dyDescent="0.35">
      <c r="A50" s="17" t="s">
        <v>11</v>
      </c>
      <c r="B50" s="17" t="s">
        <v>12</v>
      </c>
      <c r="C50" s="19" t="s">
        <v>14</v>
      </c>
      <c r="D50" s="19" t="s">
        <v>40</v>
      </c>
      <c r="E50" s="19" t="s">
        <v>15</v>
      </c>
    </row>
    <row r="51" spans="1:11" x14ac:dyDescent="0.35">
      <c r="A51" s="167" t="s">
        <v>152</v>
      </c>
      <c r="B51" s="70">
        <f>+(4*20*12+350)</f>
        <v>1310</v>
      </c>
      <c r="C51" s="34">
        <f>+B51/2650</f>
        <v>0.49433962264150944</v>
      </c>
      <c r="D51" s="27">
        <f>B51/$B$54</f>
        <v>0.25746855345911951</v>
      </c>
      <c r="E51" s="21">
        <f>+C51*$D$9</f>
        <v>940.72830188679245</v>
      </c>
    </row>
    <row r="52" spans="1:11" ht="16.5" x14ac:dyDescent="0.35">
      <c r="A52" s="167" t="s">
        <v>153</v>
      </c>
      <c r="B52" s="70">
        <f>5088-B51-B53</f>
        <v>2838</v>
      </c>
      <c r="C52" s="34">
        <f t="shared" ref="C52:C53" si="9">+B52/2650</f>
        <v>1.070943396226415</v>
      </c>
      <c r="D52" s="27">
        <f t="shared" ref="D52:D53" si="10">B52/$B$54</f>
        <v>0.55778301886792447</v>
      </c>
      <c r="E52" s="21">
        <f t="shared" ref="E52" si="11">+C52*$D$9</f>
        <v>2038.0052830188677</v>
      </c>
      <c r="G52" s="190" t="s">
        <v>1</v>
      </c>
      <c r="H52" s="167" t="s">
        <v>187</v>
      </c>
      <c r="I52" s="190" t="s">
        <v>1</v>
      </c>
      <c r="J52" s="167" t="s">
        <v>187</v>
      </c>
      <c r="K52" s="86" t="s">
        <v>188</v>
      </c>
    </row>
    <row r="53" spans="1:11" x14ac:dyDescent="0.35">
      <c r="A53" s="167" t="s">
        <v>151</v>
      </c>
      <c r="B53" s="159">
        <f>2*10*47</f>
        <v>940</v>
      </c>
      <c r="C53" s="34">
        <f t="shared" si="9"/>
        <v>0.35471698113207545</v>
      </c>
      <c r="D53" s="27">
        <f t="shared" si="10"/>
        <v>0.18474842767295596</v>
      </c>
      <c r="E53" s="21">
        <f>+C53*$D$9</f>
        <v>675.02641509433954</v>
      </c>
      <c r="F53" s="164"/>
      <c r="G53" s="98">
        <v>2650</v>
      </c>
      <c r="H53" s="159">
        <f>2*10*51</f>
        <v>1020</v>
      </c>
      <c r="I53" s="98">
        <v>1903</v>
      </c>
      <c r="J53" s="186">
        <f>+H53*I53/G53</f>
        <v>732.47547169811321</v>
      </c>
      <c r="K53" s="21">
        <f>+J53-E53</f>
        <v>57.44905660377367</v>
      </c>
    </row>
    <row r="54" spans="1:11" ht="16.5" x14ac:dyDescent="0.35">
      <c r="A54" s="76" t="s">
        <v>7</v>
      </c>
      <c r="B54" s="184">
        <f>+SUM(B51:B53)</f>
        <v>5088</v>
      </c>
      <c r="C54" s="183">
        <f>+SUM(C51:C53)</f>
        <v>1.92</v>
      </c>
      <c r="D54" s="75" t="s">
        <v>39</v>
      </c>
      <c r="E54" s="34">
        <f>+SUM(E51:E53)</f>
        <v>3653.7599999999993</v>
      </c>
    </row>
    <row r="56" spans="1:11" ht="16.5" x14ac:dyDescent="0.35">
      <c r="A56" s="101" t="s">
        <v>160</v>
      </c>
      <c r="B56" s="104" t="s">
        <v>194</v>
      </c>
      <c r="C56" s="61">
        <v>1291</v>
      </c>
      <c r="D56" s="161" t="s">
        <v>1</v>
      </c>
    </row>
    <row r="57" spans="1:11" ht="15.5" x14ac:dyDescent="0.35">
      <c r="A57" s="192" t="s">
        <v>158</v>
      </c>
      <c r="B57" s="86" t="s">
        <v>184</v>
      </c>
      <c r="C57" s="44" t="s">
        <v>178</v>
      </c>
      <c r="D57" s="104"/>
      <c r="E57" s="61"/>
    </row>
    <row r="58" spans="1:11" ht="16.5" x14ac:dyDescent="0.35">
      <c r="A58" s="17" t="s">
        <v>11</v>
      </c>
      <c r="B58" s="17" t="s">
        <v>12</v>
      </c>
      <c r="C58" s="19" t="s">
        <v>14</v>
      </c>
      <c r="D58" s="19" t="s">
        <v>40</v>
      </c>
      <c r="E58" s="19" t="s">
        <v>15</v>
      </c>
    </row>
    <row r="59" spans="1:11" x14ac:dyDescent="0.35">
      <c r="A59" s="167" t="s">
        <v>152</v>
      </c>
      <c r="B59" s="70">
        <f>+(4*20*12+350)*0.5</f>
        <v>655</v>
      </c>
      <c r="C59" s="34">
        <f>+B59/1291</f>
        <v>0.50735863671572423</v>
      </c>
      <c r="D59" s="27">
        <f>B59/$B$62</f>
        <v>0.29670095714369837</v>
      </c>
      <c r="E59" s="21">
        <f>+C59*$D$10</f>
        <v>539.8295894655306</v>
      </c>
    </row>
    <row r="60" spans="1:11" ht="16.5" x14ac:dyDescent="0.35">
      <c r="A60" s="167" t="s">
        <v>153</v>
      </c>
      <c r="B60" s="70">
        <f>2207.61-B59-B61</f>
        <v>1082.6100000000001</v>
      </c>
      <c r="C60" s="34">
        <f t="shared" ref="C60:C61" si="12">+B60/1291</f>
        <v>0.83858249419055009</v>
      </c>
      <c r="D60" s="27">
        <f t="shared" ref="D60:D61" si="13">B60/$B$62</f>
        <v>0.4903991194096784</v>
      </c>
      <c r="E60" s="21">
        <f t="shared" ref="E60:E61" si="14">+C60*$D$10</f>
        <v>892.25177381874528</v>
      </c>
      <c r="G60" s="190" t="s">
        <v>1</v>
      </c>
      <c r="H60" s="167" t="s">
        <v>187</v>
      </c>
      <c r="I60" s="190" t="s">
        <v>1</v>
      </c>
      <c r="J60" s="167" t="s">
        <v>187</v>
      </c>
      <c r="K60" s="86" t="s">
        <v>188</v>
      </c>
    </row>
    <row r="61" spans="1:11" x14ac:dyDescent="0.35">
      <c r="A61" s="167" t="s">
        <v>151</v>
      </c>
      <c r="B61" s="159">
        <f>2*10*47*0.5</f>
        <v>470</v>
      </c>
      <c r="C61" s="34">
        <f t="shared" si="12"/>
        <v>0.36405886909372581</v>
      </c>
      <c r="D61" s="27">
        <f t="shared" si="13"/>
        <v>0.21289992344662326</v>
      </c>
      <c r="E61" s="21">
        <f t="shared" si="14"/>
        <v>387.35863671572429</v>
      </c>
      <c r="F61" s="164"/>
      <c r="G61" s="98">
        <v>1291</v>
      </c>
      <c r="H61" s="159">
        <f>2*10*51*0.5</f>
        <v>510</v>
      </c>
      <c r="I61" s="98">
        <v>1064</v>
      </c>
      <c r="J61" s="186">
        <f>+H61*I61/G61</f>
        <v>420.32532920216886</v>
      </c>
      <c r="K61" s="21">
        <f>+J61-E61</f>
        <v>32.966692486444572</v>
      </c>
    </row>
    <row r="62" spans="1:11" ht="16.5" x14ac:dyDescent="0.35">
      <c r="A62" s="76" t="s">
        <v>7</v>
      </c>
      <c r="B62" s="184">
        <f>+SUM(B59:B61)</f>
        <v>2207.61</v>
      </c>
      <c r="C62" s="183">
        <f>+SUM(C59:C61)</f>
        <v>1.7100000000000002</v>
      </c>
      <c r="D62" s="75" t="s">
        <v>39</v>
      </c>
      <c r="E62" s="34">
        <f>+SUM(E59:E61)</f>
        <v>1819.4400000000003</v>
      </c>
    </row>
    <row r="64" spans="1:11" ht="16.5" x14ac:dyDescent="0.35">
      <c r="A64" s="101" t="s">
        <v>160</v>
      </c>
      <c r="B64" s="104" t="s">
        <v>194</v>
      </c>
      <c r="C64" s="61">
        <v>2360</v>
      </c>
      <c r="D64" s="161" t="s">
        <v>1</v>
      </c>
    </row>
    <row r="65" spans="1:11" ht="15.5" x14ac:dyDescent="0.35">
      <c r="A65" s="192" t="s">
        <v>158</v>
      </c>
      <c r="B65" s="86" t="s">
        <v>183</v>
      </c>
      <c r="C65" s="44" t="s">
        <v>179</v>
      </c>
      <c r="D65" s="104"/>
      <c r="E65" s="61"/>
    </row>
    <row r="66" spans="1:11" ht="16.5" x14ac:dyDescent="0.35">
      <c r="A66" s="17" t="s">
        <v>11</v>
      </c>
      <c r="B66" s="17" t="s">
        <v>12</v>
      </c>
      <c r="C66" s="19" t="s">
        <v>14</v>
      </c>
      <c r="D66" s="19" t="s">
        <v>40</v>
      </c>
      <c r="E66" s="19" t="s">
        <v>15</v>
      </c>
    </row>
    <row r="67" spans="1:11" x14ac:dyDescent="0.35">
      <c r="A67" s="167" t="s">
        <v>152</v>
      </c>
      <c r="B67" s="70">
        <f>+(4*20*12+350)*0.5</f>
        <v>655</v>
      </c>
      <c r="C67" s="34">
        <f>+B67/2360</f>
        <v>0.27754237288135591</v>
      </c>
      <c r="D67" s="27">
        <f>B67/$B$70</f>
        <v>0.19967077185709059</v>
      </c>
      <c r="E67" s="21">
        <f>+C67*$D$11</f>
        <v>632.24152542372872</v>
      </c>
    </row>
    <row r="68" spans="1:11" ht="16.5" x14ac:dyDescent="0.35">
      <c r="A68" s="167" t="s">
        <v>153</v>
      </c>
      <c r="B68" s="70">
        <f>3280.4-B67-B69</f>
        <v>2155.4</v>
      </c>
      <c r="C68" s="34">
        <f t="shared" ref="C68:C69" si="15">+B68/2360</f>
        <v>0.91330508474576277</v>
      </c>
      <c r="D68" s="27">
        <f t="shared" ref="D68:D69" si="16">B68/$B$70</f>
        <v>0.657054017802707</v>
      </c>
      <c r="E68" s="21">
        <f t="shared" ref="E68:E69" si="17">+C68*$D$11</f>
        <v>2080.5089830508477</v>
      </c>
      <c r="G68" s="190" t="s">
        <v>1</v>
      </c>
      <c r="H68" s="167" t="s">
        <v>187</v>
      </c>
      <c r="I68" s="190" t="s">
        <v>1</v>
      </c>
      <c r="J68" s="167" t="s">
        <v>187</v>
      </c>
      <c r="K68" s="86" t="s">
        <v>188</v>
      </c>
    </row>
    <row r="69" spans="1:11" x14ac:dyDescent="0.35">
      <c r="A69" s="167" t="s">
        <v>151</v>
      </c>
      <c r="B69" s="159">
        <f>2*10*47*0.5</f>
        <v>470</v>
      </c>
      <c r="C69" s="34">
        <f t="shared" si="15"/>
        <v>0.19915254237288135</v>
      </c>
      <c r="D69" s="27">
        <f t="shared" si="16"/>
        <v>0.14327521034020241</v>
      </c>
      <c r="E69" s="21">
        <f t="shared" si="17"/>
        <v>453.66949152542372</v>
      </c>
      <c r="F69" s="164"/>
      <c r="G69" s="98">
        <v>2360</v>
      </c>
      <c r="H69" s="159">
        <f>2*10*51*0.5</f>
        <v>510</v>
      </c>
      <c r="I69" s="98">
        <v>2278</v>
      </c>
      <c r="J69" s="186">
        <f>+H69*I69/G69</f>
        <v>492.27966101694915</v>
      </c>
      <c r="K69" s="21">
        <f>+J69-E69</f>
        <v>38.610169491525426</v>
      </c>
    </row>
    <row r="70" spans="1:11" ht="16.5" x14ac:dyDescent="0.35">
      <c r="A70" s="76" t="s">
        <v>7</v>
      </c>
      <c r="B70" s="184">
        <f>+SUM(B67:B69)</f>
        <v>3280.4</v>
      </c>
      <c r="C70" s="183">
        <f>+SUM(C67:C69)</f>
        <v>1.39</v>
      </c>
      <c r="D70" s="75" t="s">
        <v>39</v>
      </c>
      <c r="E70" s="34">
        <f>+SUM(E67:E69)</f>
        <v>3166.42</v>
      </c>
    </row>
    <row r="72" spans="1:11" ht="16.5" x14ac:dyDescent="0.35">
      <c r="A72" s="101" t="s">
        <v>160</v>
      </c>
      <c r="B72" s="104" t="s">
        <v>194</v>
      </c>
      <c r="C72" s="61">
        <v>1584</v>
      </c>
      <c r="D72" s="161" t="s">
        <v>1</v>
      </c>
    </row>
    <row r="73" spans="1:11" ht="15.5" x14ac:dyDescent="0.35">
      <c r="A73" s="192" t="s">
        <v>158</v>
      </c>
      <c r="B73" s="86" t="s">
        <v>185</v>
      </c>
      <c r="C73" s="44" t="s">
        <v>180</v>
      </c>
      <c r="D73" s="104"/>
      <c r="E73" s="61"/>
    </row>
    <row r="74" spans="1:11" ht="16.5" x14ac:dyDescent="0.35">
      <c r="A74" s="17" t="s">
        <v>11</v>
      </c>
      <c r="B74" s="17" t="s">
        <v>12</v>
      </c>
      <c r="C74" s="19" t="s">
        <v>14</v>
      </c>
      <c r="D74" s="19" t="s">
        <v>40</v>
      </c>
      <c r="E74" s="19" t="s">
        <v>15</v>
      </c>
    </row>
    <row r="75" spans="1:11" x14ac:dyDescent="0.35">
      <c r="A75" s="167" t="s">
        <v>152</v>
      </c>
      <c r="B75" s="70">
        <f>+(4*20*12+350)*0.5</f>
        <v>655</v>
      </c>
      <c r="C75" s="34">
        <f>+B75/1584</f>
        <v>0.41351010101010099</v>
      </c>
      <c r="D75" s="27">
        <f>B75/$B$78</f>
        <v>0.30858962761947839</v>
      </c>
      <c r="E75" s="21">
        <f>+C75*$D$12</f>
        <v>738.52904040404042</v>
      </c>
    </row>
    <row r="76" spans="1:11" ht="16.5" x14ac:dyDescent="0.35">
      <c r="A76" s="167" t="s">
        <v>153</v>
      </c>
      <c r="B76" s="70">
        <f>2122.56-B75-B77</f>
        <v>997.56</v>
      </c>
      <c r="C76" s="34">
        <f t="shared" ref="C76:C77" si="18">+B76/1584</f>
        <v>0.62977272727272726</v>
      </c>
      <c r="D76" s="27">
        <f t="shared" ref="D76:D77" si="19">B76/$B$78</f>
        <v>0.4699796472184532</v>
      </c>
      <c r="E76" s="21">
        <f t="shared" ref="E76:E77" si="20">+C76*$D$12</f>
        <v>1124.774090909091</v>
      </c>
      <c r="G76" s="190" t="s">
        <v>1</v>
      </c>
      <c r="H76" s="167" t="s">
        <v>187</v>
      </c>
      <c r="I76" s="190" t="s">
        <v>1</v>
      </c>
      <c r="J76" s="167" t="s">
        <v>187</v>
      </c>
      <c r="K76" s="86" t="s">
        <v>188</v>
      </c>
    </row>
    <row r="77" spans="1:11" x14ac:dyDescent="0.35">
      <c r="A77" s="167" t="s">
        <v>151</v>
      </c>
      <c r="B77" s="159">
        <f>2*10*47*0.5</f>
        <v>470</v>
      </c>
      <c r="C77" s="34">
        <f t="shared" si="18"/>
        <v>0.29671717171717171</v>
      </c>
      <c r="D77" s="27">
        <f t="shared" si="19"/>
        <v>0.22143072516206846</v>
      </c>
      <c r="E77" s="21">
        <f t="shared" si="20"/>
        <v>529.93686868686871</v>
      </c>
      <c r="F77" s="164"/>
      <c r="G77" s="98">
        <v>1584</v>
      </c>
      <c r="H77" s="159">
        <f>2*10*51*0.5</f>
        <v>510</v>
      </c>
      <c r="I77" s="98">
        <v>1786</v>
      </c>
      <c r="J77" s="186">
        <f>+H77*I77/G77</f>
        <v>575.03787878787875</v>
      </c>
      <c r="K77" s="21">
        <f>+J77-E77</f>
        <v>45.101010101010047</v>
      </c>
    </row>
    <row r="78" spans="1:11" ht="16.5" x14ac:dyDescent="0.35">
      <c r="A78" s="76" t="s">
        <v>7</v>
      </c>
      <c r="B78" s="184">
        <f>+SUM(B75:B77)</f>
        <v>2122.56</v>
      </c>
      <c r="C78" s="183">
        <f>+SUM(C75:C77)</f>
        <v>1.3399999999999999</v>
      </c>
      <c r="D78" s="75" t="s">
        <v>39</v>
      </c>
      <c r="E78" s="34">
        <f>+SUM(E75:E77)</f>
        <v>2393.2400000000002</v>
      </c>
    </row>
    <row r="80" spans="1:11" ht="16.5" x14ac:dyDescent="0.35">
      <c r="A80" s="101" t="s">
        <v>160</v>
      </c>
      <c r="B80" s="104" t="s">
        <v>195</v>
      </c>
      <c r="C80" s="61">
        <v>189</v>
      </c>
      <c r="D80" s="161" t="s">
        <v>1</v>
      </c>
    </row>
    <row r="81" spans="1:11" ht="15.5" x14ac:dyDescent="0.35">
      <c r="A81" s="192" t="s">
        <v>158</v>
      </c>
      <c r="B81" s="86" t="s">
        <v>186</v>
      </c>
      <c r="C81" s="44" t="s">
        <v>181</v>
      </c>
      <c r="D81" s="104"/>
      <c r="E81" s="61"/>
    </row>
    <row r="82" spans="1:11" ht="16.5" x14ac:dyDescent="0.35">
      <c r="A82" s="17" t="s">
        <v>11</v>
      </c>
      <c r="B82" s="17" t="s">
        <v>12</v>
      </c>
      <c r="C82" s="19" t="s">
        <v>14</v>
      </c>
      <c r="D82" s="19" t="s">
        <v>40</v>
      </c>
      <c r="E82" s="19" t="s">
        <v>15</v>
      </c>
    </row>
    <row r="83" spans="1:11" x14ac:dyDescent="0.35">
      <c r="A83" s="167" t="s">
        <v>152</v>
      </c>
      <c r="B83" s="70">
        <f>+(4*20*12+350)*0.1</f>
        <v>131</v>
      </c>
      <c r="C83" s="34">
        <f>+B83/189</f>
        <v>0.69312169312169314</v>
      </c>
      <c r="D83" s="27">
        <f>B83/$B$86</f>
        <v>0.26865181903941593</v>
      </c>
      <c r="E83" s="21">
        <f>+C83*$D$13</f>
        <v>133.07936507936509</v>
      </c>
    </row>
    <row r="84" spans="1:11" ht="16.5" x14ac:dyDescent="0.35">
      <c r="A84" s="167" t="s">
        <v>153</v>
      </c>
      <c r="B84" s="70">
        <f>487.62-B83-B85</f>
        <v>262.62</v>
      </c>
      <c r="C84" s="34">
        <f t="shared" ref="C84:C85" si="21">+B84/189</f>
        <v>1.3895238095238096</v>
      </c>
      <c r="D84" s="27">
        <f t="shared" ref="D84:D85" si="22">B84/$B$86</f>
        <v>0.53857511997046881</v>
      </c>
      <c r="E84" s="21">
        <f t="shared" ref="E84:E85" si="23">+C84*$D$13</f>
        <v>266.78857142857146</v>
      </c>
      <c r="G84" s="190" t="s">
        <v>1</v>
      </c>
      <c r="H84" s="167" t="s">
        <v>187</v>
      </c>
      <c r="I84" s="190" t="s">
        <v>1</v>
      </c>
      <c r="J84" s="167" t="s">
        <v>187</v>
      </c>
      <c r="K84" s="86" t="s">
        <v>188</v>
      </c>
    </row>
    <row r="85" spans="1:11" x14ac:dyDescent="0.35">
      <c r="A85" s="167" t="s">
        <v>151</v>
      </c>
      <c r="B85" s="159">
        <f>2*10*47*0.1</f>
        <v>94</v>
      </c>
      <c r="C85" s="34">
        <f t="shared" si="21"/>
        <v>0.49735449735449733</v>
      </c>
      <c r="D85" s="27">
        <f t="shared" si="22"/>
        <v>0.19277306099011526</v>
      </c>
      <c r="E85" s="21">
        <f t="shared" si="23"/>
        <v>95.492063492063494</v>
      </c>
      <c r="F85" s="164"/>
      <c r="G85" s="98">
        <v>189</v>
      </c>
      <c r="H85" s="159">
        <f>2*10*51*0.1</f>
        <v>102</v>
      </c>
      <c r="I85" s="98">
        <v>192</v>
      </c>
      <c r="J85" s="186">
        <f>+H85*I85/G85</f>
        <v>103.61904761904762</v>
      </c>
      <c r="K85" s="21">
        <f>+J85-E85</f>
        <v>8.1269841269841265</v>
      </c>
    </row>
    <row r="86" spans="1:11" ht="16.5" x14ac:dyDescent="0.35">
      <c r="A86" s="76" t="s">
        <v>7</v>
      </c>
      <c r="B86" s="184">
        <f>+SUM(B83:B85)</f>
        <v>487.62</v>
      </c>
      <c r="C86" s="183">
        <f>+SUM(C83:C85)</f>
        <v>2.58</v>
      </c>
      <c r="D86" s="75" t="s">
        <v>39</v>
      </c>
      <c r="E86" s="34">
        <f>+SUM(E83:E85)</f>
        <v>495.36</v>
      </c>
    </row>
    <row r="88" spans="1:11" ht="15.5" x14ac:dyDescent="0.35">
      <c r="B88" s="83" t="s">
        <v>105</v>
      </c>
      <c r="C88" s="84" t="s">
        <v>106</v>
      </c>
      <c r="D88" s="84" t="s">
        <v>107</v>
      </c>
    </row>
    <row r="89" spans="1:11" x14ac:dyDescent="0.35">
      <c r="A89" s="79" t="s">
        <v>197</v>
      </c>
      <c r="B89" s="80">
        <v>45</v>
      </c>
      <c r="C89" s="81">
        <f>10*(E5+E6+E7+E8+E9+E10+E11+E12+E13)</f>
        <v>166</v>
      </c>
      <c r="D89" s="81">
        <f>+B89*C89</f>
        <v>7470</v>
      </c>
    </row>
    <row r="90" spans="1:11" x14ac:dyDescent="0.35">
      <c r="A90" s="179" t="s">
        <v>166</v>
      </c>
      <c r="B90" s="178">
        <v>16</v>
      </c>
      <c r="C90" s="81">
        <f>+(E5+E6+E7+E8+E9+E10+E11+E12+E13)*8</f>
        <v>132.80000000000001</v>
      </c>
      <c r="D90" s="81">
        <f t="shared" ref="D90" si="24">+B90*C90</f>
        <v>2124.8000000000002</v>
      </c>
    </row>
    <row r="91" spans="1:11" x14ac:dyDescent="0.35">
      <c r="A91" s="179" t="s">
        <v>101</v>
      </c>
      <c r="B91" s="178">
        <v>4</v>
      </c>
      <c r="C91" s="81">
        <f>+(E6+E7+E8+E9+E10+E11+E12+E13+E5)*8</f>
        <v>132.80000000000001</v>
      </c>
      <c r="D91" s="81">
        <f>+B91*C91</f>
        <v>531.20000000000005</v>
      </c>
    </row>
    <row r="92" spans="1:11" x14ac:dyDescent="0.35">
      <c r="A92" s="87"/>
      <c r="B92" s="87"/>
      <c r="C92" s="87" t="s">
        <v>196</v>
      </c>
      <c r="D92" s="82">
        <f>+SUM(D89:D91)</f>
        <v>10126</v>
      </c>
    </row>
    <row r="93" spans="1:11" x14ac:dyDescent="0.35">
      <c r="C93" s="61" t="s">
        <v>108</v>
      </c>
      <c r="D93" s="86">
        <v>1.0468</v>
      </c>
      <c r="E93" s="201" t="s">
        <v>233</v>
      </c>
      <c r="F93" s="25"/>
    </row>
    <row r="94" spans="1:11" x14ac:dyDescent="0.35">
      <c r="C94" s="61" t="s">
        <v>109</v>
      </c>
      <c r="D94" s="34">
        <f>+D93*D92</f>
        <v>10599.896799999999</v>
      </c>
      <c r="E94" s="25"/>
      <c r="F94" s="25"/>
    </row>
    <row r="95" spans="1:11" x14ac:dyDescent="0.35">
      <c r="C95" s="61" t="s">
        <v>110</v>
      </c>
      <c r="D95" s="97">
        <f>(1.3298*14.5+1.2629*2.5)/17</f>
        <v>1.3199617647058823</v>
      </c>
      <c r="E95" s="201" t="s">
        <v>234</v>
      </c>
      <c r="F95" s="201" t="s">
        <v>235</v>
      </c>
    </row>
    <row r="96" spans="1:11" x14ac:dyDescent="0.35">
      <c r="C96" s="61" t="s">
        <v>111</v>
      </c>
      <c r="D96" s="34">
        <f>+D95*D94</f>
        <v>13991.458485828232</v>
      </c>
    </row>
    <row r="97" spans="3:4" x14ac:dyDescent="0.35">
      <c r="C97" s="61" t="s">
        <v>117</v>
      </c>
      <c r="D97" s="34">
        <f>+D96-D94</f>
        <v>3391.5616858282337</v>
      </c>
    </row>
    <row r="98" spans="3:4" ht="28" x14ac:dyDescent="0.35">
      <c r="C98" s="199" t="s">
        <v>244</v>
      </c>
      <c r="D98" s="64">
        <f>D97/D94</f>
        <v>0.31996176470588222</v>
      </c>
    </row>
  </sheetData>
  <mergeCells count="3">
    <mergeCell ref="A7:A9"/>
    <mergeCell ref="A10:A13"/>
    <mergeCell ref="H17:K17"/>
  </mergeCells>
  <pageMargins left="0.7" right="0.7" top="0.75" bottom="0.75" header="0.3" footer="0.3"/>
  <ignoredErrors>
    <ignoredError sqref="D95" formula="1"/>
  </ignoredErrors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FD5FBE681D39469CEEDE79B2CA2A36" ma:contentTypeVersion="24" ma:contentTypeDescription="Loo uus dokument" ma:contentTypeScope="" ma:versionID="9f184ce98abf670bb2fd3dc9aac5aa4d">
  <xsd:schema xmlns:xsd="http://www.w3.org/2001/XMLSchema" xmlns:xs="http://www.w3.org/2001/XMLSchema" xmlns:p="http://schemas.microsoft.com/office/2006/metadata/properties" xmlns:ns2="f843568e-bdc7-4cad-a0d2-90f974d8a40f" xmlns:ns3="12ed72e7-4a90-459c-9f3f-9e8a76cf3cae" targetNamespace="http://schemas.microsoft.com/office/2006/metadata/properties" ma:root="true" ma:fieldsID="000b2642dc10960c78f739302089b4fe" ns2:_="" ns3:_="">
    <xsd:import namespace="f843568e-bdc7-4cad-a0d2-90f974d8a40f"/>
    <xsd:import namespace="12ed72e7-4a90-459c-9f3f-9e8a76cf3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3568e-bdc7-4cad-a0d2-90f974d8a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Pildisildid" ma:readOnly="false" ma:fieldId="{5cf76f15-5ced-4ddc-b409-7134ff3c332f}" ma:taxonomyMulti="true" ma:sspId="8a363f6a-6f42-42a2-8f9a-ce860fe662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d72e7-4a90-459c-9f3f-9e8a76cf3ca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4c441ff-75a9-4405-82ba-14562d57e0e4}" ma:internalName="TaxCatchAll" ma:showField="CatchAllData" ma:web="12ed72e7-4a90-459c-9f3f-9e8a76cf3c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43568e-bdc7-4cad-a0d2-90f974d8a40f">
      <Terms xmlns="http://schemas.microsoft.com/office/infopath/2007/PartnerControls"/>
    </lcf76f155ced4ddcb4097134ff3c332f>
    <TaxCatchAll xmlns="12ed72e7-4a90-459c-9f3f-9e8a76cf3cae" xsi:nil="true"/>
  </documentManagement>
</p:properties>
</file>

<file path=customXml/itemProps1.xml><?xml version="1.0" encoding="utf-8"?>
<ds:datastoreItem xmlns:ds="http://schemas.openxmlformats.org/officeDocument/2006/customXml" ds:itemID="{52E486A5-7434-4CF0-8A3B-9CAD6EA3A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3568e-bdc7-4cad-a0d2-90f974d8a40f"/>
    <ds:schemaRef ds:uri="12ed72e7-4a90-459c-9f3f-9e8a76cf3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6CF612-0D87-46E5-86CA-50B5206DD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70B8E3-A7E7-4DB1-B562-E8C029796905}">
  <ds:schemaRefs>
    <ds:schemaRef ds:uri="http://schemas.microsoft.com/office/2006/metadata/properties"/>
    <ds:schemaRef ds:uri="http://schemas.microsoft.com/office/infopath/2007/PartnerControls"/>
    <ds:schemaRef ds:uri="f843568e-bdc7-4cad-a0d2-90f974d8a40f"/>
    <ds:schemaRef ds:uri="12ed72e7-4a90-459c-9f3f-9e8a76cf3c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Kallinemise koondtabel</vt:lpstr>
      <vt:lpstr>Remix</vt:lpstr>
      <vt:lpstr>Peenramaterjali vedu</vt:lpstr>
      <vt:lpstr>Asfalteerimine</vt:lpstr>
      <vt:lpstr>Freesimine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Lobrev</dc:creator>
  <cp:lastModifiedBy>Kristiina Lobrev</cp:lastModifiedBy>
  <cp:lastPrinted>2026-09-18T04:02:40Z</cp:lastPrinted>
  <dcterms:created xsi:type="dcterms:W3CDTF">2026-09-17T16:13:52Z</dcterms:created>
  <dcterms:modified xsi:type="dcterms:W3CDTF">2026-09-21T05:59:21Z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0x01010075FD5FBE681D39469CEEDE79B2CA2A36</vt:lpwstr>
  </property>
  <property fmtid="{D5CDD505-2E9C-101B-9397-08002B2CF9AE}" pid="3" name="MediaServiceImageTags">
    <vt:lpwstr/>
  </property>
</Properties>
</file>